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hidePivotFieldList="1" defaultThemeVersion="124226"/>
  <mc:AlternateContent xmlns:mc="http://schemas.openxmlformats.org/markup-compatibility/2006">
    <mc:Choice Requires="x15">
      <x15ac:absPath xmlns:x15ac="http://schemas.microsoft.com/office/spreadsheetml/2010/11/ac" url="https://municipiochia-my.sharepoint.com/personal/yesica_vanegas_chia_gov_co/Documents/Infraestructura Datacenter, Redes y Seguridad/Riesgos/"/>
    </mc:Choice>
  </mc:AlternateContent>
  <xr:revisionPtr revIDLastSave="0" documentId="8_{A075E52E-5CA9-41B8-908B-4C653EEDF518}" xr6:coauthVersionLast="47" xr6:coauthVersionMax="47" xr10:uidLastSave="{00000000-0000-0000-0000-000000000000}"/>
  <bookViews>
    <workbookView xWindow="-120" yWindow="-120" windowWidth="25440" windowHeight="15270" tabRatio="882" firstSheet="1"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8"/>
  <pivotCaches>
    <pivotCache cacheId="4283"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22" i="1" l="1"/>
  <c r="G28" i="1"/>
  <c r="G10" i="1"/>
  <c r="T10" i="1"/>
  <c r="Q10" i="1"/>
  <c r="H10" i="1"/>
  <c r="I10" i="1" s="1"/>
  <c r="K59" i="1"/>
  <c r="K31" i="1"/>
  <c r="K17" i="1"/>
  <c r="K49" i="1"/>
  <c r="K54" i="1"/>
  <c r="K38" i="1"/>
  <c r="K27" i="1"/>
  <c r="K63" i="1"/>
  <c r="K56" i="1"/>
  <c r="K24" i="1"/>
  <c r="K50" i="1"/>
  <c r="K37" i="1"/>
  <c r="K21" i="1"/>
  <c r="K55" i="1"/>
  <c r="K32" i="1"/>
  <c r="K33" i="1"/>
  <c r="K20" i="1"/>
  <c r="K67" i="1"/>
  <c r="K68" i="1"/>
  <c r="K43" i="1"/>
  <c r="K51" i="1"/>
  <c r="K44" i="1"/>
  <c r="K62" i="1"/>
  <c r="K57" i="1"/>
  <c r="K69" i="1"/>
  <c r="K29" i="1"/>
  <c r="K60" i="1"/>
  <c r="K30" i="1"/>
  <c r="K48" i="1"/>
  <c r="K35" i="1"/>
  <c r="K47" i="1"/>
  <c r="K39" i="1"/>
  <c r="K65" i="1"/>
  <c r="K66" i="1"/>
  <c r="K41" i="1"/>
  <c r="K19" i="1"/>
  <c r="K18" i="1"/>
  <c r="K26" i="1"/>
  <c r="K42" i="1"/>
  <c r="K36" i="1"/>
  <c r="K23" i="1"/>
  <c r="K53" i="1"/>
  <c r="K25" i="1"/>
  <c r="K61" i="1"/>
  <c r="K45" i="1"/>
  <c r="F221" i="13" l="1"/>
  <c r="F211" i="13"/>
  <c r="F212" i="13"/>
  <c r="F213" i="13"/>
  <c r="F214" i="13"/>
  <c r="F215" i="13"/>
  <c r="F216" i="13"/>
  <c r="F217" i="13"/>
  <c r="F218" i="13"/>
  <c r="F219" i="13"/>
  <c r="F220" i="13"/>
  <c r="F210" i="13"/>
  <c r="K15" i="1"/>
  <c r="K11" i="1"/>
  <c r="B221" i="13" a="1"/>
  <c r="K14" i="1"/>
  <c r="K12" i="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AB65" i="1" s="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35" i="1" l="1"/>
  <c r="AB59" i="1"/>
  <c r="AB50" i="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8" i="1"/>
  <c r="AB40" i="1"/>
  <c r="AA40" i="1" s="1"/>
  <c r="AB52" i="1"/>
  <c r="AA5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AA56" i="1"/>
  <c r="AB57" i="1"/>
  <c r="AA57" i="1" s="1"/>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10" i="1"/>
  <c r="L10" i="1" s="1"/>
  <c r="K28" i="1"/>
  <c r="L28" i="1" s="1"/>
  <c r="K22" i="1"/>
  <c r="L22" i="1" s="1"/>
  <c r="K52" i="1"/>
  <c r="L52" i="1" s="1"/>
  <c r="K46" i="1"/>
  <c r="L46" i="1" s="1"/>
  <c r="K34" i="1"/>
  <c r="L34" i="1" s="1"/>
  <c r="K16" i="1"/>
  <c r="L16" i="1" s="1"/>
  <c r="K64" i="1"/>
  <c r="L64" i="1" s="1"/>
  <c r="K58" i="1"/>
  <c r="L58" i="1" s="1"/>
  <c r="X6" i="18" l="1"/>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Z40" i="18"/>
  <c r="AL8" i="18"/>
  <c r="AF8" i="18"/>
  <c r="T8" i="18"/>
  <c r="Z16" i="18"/>
  <c r="T24" i="18"/>
  <c r="AL24" i="18"/>
  <c r="Z32" i="18"/>
  <c r="N32" i="18"/>
  <c r="N16" i="18"/>
  <c r="Z8" i="18"/>
  <c r="AL40" i="18"/>
  <c r="N8" i="18"/>
  <c r="N24" i="18"/>
  <c r="T32" i="18"/>
  <c r="T16" i="18"/>
  <c r="AF40" i="18"/>
  <c r="AF16" i="18"/>
  <c r="AL32" i="18"/>
  <c r="N40" i="18"/>
  <c r="Z24" i="18"/>
  <c r="AL16" i="18"/>
  <c r="N40" i="1"/>
  <c r="AA28" i="1" l="1"/>
  <c r="AB29" i="1"/>
  <c r="AA22" i="1"/>
  <c r="AB23" i="1"/>
  <c r="AA16" i="1"/>
  <c r="AB17" i="1"/>
  <c r="AA10" i="1"/>
  <c r="J16" i="19" s="1"/>
  <c r="AB11" i="1"/>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AB18" i="1" l="1"/>
  <c r="AA18" i="1" s="1"/>
  <c r="AA17" i="1"/>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A23" i="1"/>
  <c r="AB24" i="1"/>
  <c r="AA24" i="1" s="1"/>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29" i="1"/>
  <c r="AB30" i="1"/>
  <c r="AH9" i="19"/>
  <c r="AC28" i="1"/>
  <c r="J39" i="19"/>
  <c r="AB39" i="19"/>
  <c r="AH49" i="19"/>
  <c r="P39" i="19"/>
  <c r="P9" i="19"/>
  <c r="AB9" i="19"/>
  <c r="V39" i="19"/>
  <c r="V9" i="19"/>
  <c r="J19" i="19"/>
  <c r="V29" i="19"/>
  <c r="P29" i="19"/>
  <c r="AB49" i="19"/>
  <c r="AB29" i="19"/>
  <c r="P49" i="19"/>
  <c r="J49" i="19"/>
  <c r="P19" i="19"/>
  <c r="V49" i="19"/>
  <c r="AH39" i="19"/>
  <c r="AH29" i="19"/>
  <c r="AB19" i="19"/>
  <c r="J9" i="19"/>
  <c r="AH19" i="19"/>
  <c r="J29" i="19"/>
  <c r="V19" i="19"/>
  <c r="AC10" i="1"/>
  <c r="J6" i="19"/>
  <c r="P36" i="19"/>
  <c r="AH16" i="19"/>
  <c r="AH26" i="19"/>
  <c r="AB6" i="19"/>
  <c r="AB16" i="19"/>
  <c r="AB36" i="19"/>
  <c r="AB26" i="19"/>
  <c r="V6" i="19"/>
  <c r="P46" i="19"/>
  <c r="AB46" i="19"/>
  <c r="V36" i="19"/>
  <c r="AH46" i="19"/>
  <c r="V16" i="19"/>
  <c r="V46" i="19"/>
  <c r="P26" i="19"/>
  <c r="AH6" i="19"/>
  <c r="J46" i="19"/>
  <c r="AH36" i="19"/>
  <c r="P6" i="19"/>
  <c r="J26" i="19"/>
  <c r="V26" i="19"/>
  <c r="P16" i="19"/>
  <c r="J36" i="19"/>
  <c r="AB12" i="1"/>
  <c r="AA11" i="1"/>
  <c r="AA30" i="1" l="1"/>
  <c r="AB31" i="1"/>
  <c r="AA31" i="1" s="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W37" i="19"/>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Q6" i="19"/>
  <c r="AI16" i="19"/>
  <c r="AC46" i="19"/>
  <c r="AI26" i="19"/>
  <c r="W36" i="19"/>
  <c r="K46" i="19"/>
  <c r="W16" i="19"/>
  <c r="K26" i="19"/>
  <c r="AC16" i="19"/>
  <c r="Q26" i="19"/>
  <c r="Q16" i="19"/>
  <c r="AI36" i="19"/>
  <c r="K6" i="19"/>
  <c r="Q46" i="19"/>
  <c r="AC6" i="19"/>
  <c r="AC11" i="1"/>
  <c r="AC36" i="19"/>
  <c r="AI6" i="19"/>
  <c r="AI46" i="19"/>
  <c r="W6" i="19"/>
  <c r="W26" i="19"/>
  <c r="AC26" i="19"/>
  <c r="K36" i="19"/>
  <c r="Q36" i="19"/>
  <c r="W46" i="19"/>
  <c r="K16" i="19"/>
  <c r="AA12" i="1"/>
  <c r="AB13" i="1"/>
  <c r="S39" i="19" l="1"/>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13" i="1"/>
  <c r="AB14" i="1"/>
  <c r="AJ26" i="19"/>
  <c r="AC12" i="1"/>
  <c r="L6" i="19"/>
  <c r="R46" i="19"/>
  <c r="L46" i="19"/>
  <c r="X46" i="19"/>
  <c r="AJ36" i="19"/>
  <c r="R6" i="19"/>
  <c r="AJ6" i="19"/>
  <c r="AD36" i="19"/>
  <c r="AD26" i="19"/>
  <c r="X6" i="19"/>
  <c r="X26" i="19"/>
  <c r="R36" i="19"/>
  <c r="AJ46" i="19"/>
  <c r="AJ16" i="19"/>
  <c r="X36" i="19"/>
  <c r="R26" i="19"/>
  <c r="AD6" i="19"/>
  <c r="R16" i="19"/>
  <c r="AD46" i="19"/>
  <c r="L36" i="19"/>
  <c r="L16" i="19"/>
  <c r="X16" i="19"/>
  <c r="AD16" i="19"/>
  <c r="L26" i="19"/>
  <c r="AA14" i="1" l="1"/>
  <c r="AB15" i="1"/>
  <c r="AA15" i="1" s="1"/>
  <c r="M36" i="19"/>
  <c r="AK26" i="19"/>
  <c r="AC13" i="1"/>
  <c r="AK16" i="19"/>
  <c r="Y16" i="19"/>
  <c r="S16" i="19"/>
  <c r="M6" i="19"/>
  <c r="S46" i="19"/>
  <c r="AK46" i="19"/>
  <c r="Y6" i="19"/>
  <c r="S36" i="19"/>
  <c r="AK36" i="19"/>
  <c r="AE6" i="19"/>
  <c r="M26" i="19"/>
  <c r="Y36" i="19"/>
  <c r="AE16" i="19"/>
  <c r="S26" i="19"/>
  <c r="M46" i="19"/>
  <c r="Y26" i="19"/>
  <c r="M16" i="19"/>
  <c r="S6" i="19"/>
  <c r="AE46" i="19"/>
  <c r="Y46" i="19"/>
  <c r="AE36" i="19"/>
  <c r="AK6" i="19"/>
  <c r="AE26" i="19"/>
  <c r="AM46" i="19" l="1"/>
  <c r="AA46" i="19"/>
  <c r="O26" i="19"/>
  <c r="U36" i="19"/>
  <c r="AM26" i="19"/>
  <c r="AM36" i="19"/>
  <c r="U16" i="19"/>
  <c r="O6" i="19"/>
  <c r="AA36" i="19"/>
  <c r="AM16" i="19"/>
  <c r="U6" i="19"/>
  <c r="AA26" i="19"/>
  <c r="AG46" i="19"/>
  <c r="AA16" i="19"/>
  <c r="AA6" i="19"/>
  <c r="O16" i="19"/>
  <c r="AG6" i="19"/>
  <c r="AG16" i="19"/>
  <c r="O36" i="19"/>
  <c r="U26" i="19"/>
  <c r="O46" i="19"/>
  <c r="AM6" i="19"/>
  <c r="U46" i="19"/>
  <c r="AC15" i="1"/>
  <c r="AG26" i="19"/>
  <c r="AG36" i="19"/>
  <c r="Z26" i="19"/>
  <c r="Z16" i="19"/>
  <c r="AL6" i="19"/>
  <c r="AL26" i="19"/>
  <c r="AL36" i="19"/>
  <c r="N36" i="19"/>
  <c r="Z6" i="19"/>
  <c r="AL46" i="19"/>
  <c r="T26" i="19"/>
  <c r="Z46" i="19"/>
  <c r="AF46" i="19"/>
  <c r="T46" i="19"/>
  <c r="N16" i="19"/>
  <c r="T6" i="19"/>
  <c r="AF6" i="19"/>
  <c r="AL16" i="19"/>
  <c r="N46" i="19"/>
  <c r="Z36" i="19"/>
  <c r="AF26" i="19"/>
  <c r="T36" i="19"/>
  <c r="AF16" i="19"/>
  <c r="N6" i="19"/>
  <c r="AC14" i="1"/>
  <c r="N26" i="19"/>
  <c r="AF36" i="19"/>
  <c r="T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<sst xmlns="http://schemas.openxmlformats.org/spreadsheetml/2006/main" count="537" uniqueCount="270">
  <si>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</si>
  <si>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</si>
  <si>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</si>
  <si>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</si>
  <si>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</si>
  <si>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</si>
  <si>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</si>
  <si>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</si>
  <si>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</si>
  <si>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</si>
  <si>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</si>
  <si>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</si>
  <si>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</si>
  <si>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</si>
  <si>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</si>
  <si>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</si>
  <si>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</si>
  <si>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</si>
  <si>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</si>
  <si>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</si>
  <si>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</si>
  <si>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</si>
  <si>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</si>
  <si>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</si>
  <si>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</si>
  <si>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</si>
  <si>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</si>
  <si>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</si>
  <si>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</si>
  <si>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</si>
  <si>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</si>
  <si>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</si>
  <si>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</si>
  <si>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</si>
  <si>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</si>
  <si>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</si>
  <si>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</si>
  <si>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</si>
  <si>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</si>
  <si>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</si>
  <si>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</si>
  <si>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</si>
  <si>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</si>
  <si>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</si>
  <si>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</si>
  <si>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</si>
  <si>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</si>
  <si>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</si>
  <si>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</si>
  <si>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</si>
  <si>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</si>
  <si>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</si>
  <si>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</si>
  <si>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</si>
  <si>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</si>
  <si>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</si>
  <si>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</si>
  <si>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</si>
  <si>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</si>
  <si>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</si>
  <si>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Formato Mapa Riesgos </t>
  </si>
  <si>
    <t>Proceso:</t>
  </si>
  <si>
    <t>Tecnologías de la Información</t>
  </si>
  <si>
    <t>Objetivo:</t>
  </si>
  <si>
    <t>Realizar planes de acción para preservar la confidencialidad, integridad y disponibilidad de la información, mediante la aplicación del proceso de gestión del riesgo, alineado al “Modelo de Seguridad y Privacidad de la Información – MSPI de la alcaldía municipal de Chía.</t>
  </si>
  <si>
    <t>Alcance:</t>
  </si>
  <si>
    <t>Identificar los riesgos informáticos que se pueden llegar a materializar en la alcaldía municipal de Chía, mejorando la protección de activos de información que se manejan, en base a la implementación de los controles que se pueden aplicar a cada riesgo.</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</si>
  <si>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</si>
  <si>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</si>
  <si>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</si>
  <si>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</si>
  <si>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</si>
  <si>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</si>
  <si>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</si>
  <si>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</si>
  <si>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</si>
  <si>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</si>
  <si>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</si>
  <si>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</si>
  <si>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</si>
  <si>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</si>
  <si>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</si>
  <si>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</si>
  <si>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</si>
  <si>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</si>
  <si>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</si>
  <si>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</si>
  <si>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</si>
  <si>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</si>
  <si>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</si>
  <si>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</si>
  <si>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</si>
  <si>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</si>
  <si>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</si>
  <si>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</si>
  <si>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Económico y Reputacional</t>
  </si>
  <si>
    <t>Pérdida/Robo/Fuga de información</t>
  </si>
  <si>
    <t xml:space="preserve">Contraseñas predeterminadas no modificadas.
Contraseñas compartidas.
Ataques intencionados. (Ingeniería social Ciberataques, ciberterrorismo, hacktivismo, virus, malware, ransomware, entre otras)
Falta de clausulas sobre la propiedad del código fuente del desarrollo y de la información contenida en las bases de datos
</t>
  </si>
  <si>
    <t>Posibilidad de pérdida de confidencialidad de información ocasionado por ataques intencionados, falta de conciencia respecto a la seguridad de la información, manejo inadecuado de credenciales de acceso, ausencia de consideraciones legales en los acuerdos con terceras partes y robo/pérdida/fuga de información.</t>
  </si>
  <si>
    <t>Usuarios, productos y practicas , organizacionales</t>
  </si>
  <si>
    <t xml:space="preserve">     El riesgo afecta la imagen de la entidad con algunos usuarios de relevancia frente al logro de los objetivos</t>
  </si>
  <si>
    <t>6.3 Concienciación, educación y formación en seguridad de la información</t>
  </si>
  <si>
    <t>Preventivo</t>
  </si>
  <si>
    <t>Manual</t>
  </si>
  <si>
    <t>Documentado</t>
  </si>
  <si>
    <t>Continua</t>
  </si>
  <si>
    <t>Con Registro</t>
  </si>
  <si>
    <t>Reducir (mitigar)</t>
  </si>
  <si>
    <t>Los funcionarios y contratistas de la alcaldía municipal de Chía, deben recibir una adecuada concienciación, educación y formalización sobre la seguridad de la información y actualizaciones periódicas de la política de seguridad de la información, la cual debe ser evaluada para poder garantizar que conocen y por lo tanto cumplan sus responsabilidades en materia de seguridad de la información.</t>
  </si>
  <si>
    <t>Oficina TIC</t>
  </si>
  <si>
    <t>Semestral</t>
  </si>
  <si>
    <t>En curso</t>
  </si>
  <si>
    <t>5.17 Información de autenticación</t>
  </si>
  <si>
    <t>Se deben mantener registros de los eventos significativos relativos a la asignación y gestión de la información de autenticación en el directorio activo y portal cautivo que presta el servicio de internet wifi y se debe garantizar su confidencialidad, y  el método de mantenimiento de registros debe estar aprobado, es decir, si el registro se realiza a traves de una aplicación debe mantener la trazabilidad, sin permitir manipulación de los datos, y este método debe estar aprobado por el jefe del área.</t>
  </si>
  <si>
    <t>8.24 Uso de la criptografía.</t>
  </si>
  <si>
    <t>Generar procedimiento de cifrado de discos. Generar apropiación de la politica de seguridad de la información de la alcaldía municipal de Chía , mediante emailing o fondos de pantalla sobre el siguiente item: Gestión de claves y usuarios para cifrado: La asignación de claves y usuarios para el cifrado de información debe ser manejada mediante una solicitud formal dirigida a la Oficina de Tecnologías de la Información y las Comunicaciones (TIC). La solicitud debe justificar claramente la necesidad de dichas credenciales criptográficas</t>
  </si>
  <si>
    <t>Anual</t>
  </si>
  <si>
    <t>8.12 Prevención de fugas de datos</t>
  </si>
  <si>
    <t>En la actualización anual de los activos de información identificar la información sensible que corre el riesgo de ser divulgada sin autorización.</t>
  </si>
  <si>
    <t>3010/2026</t>
  </si>
  <si>
    <t>5.20 Abordar la seguridad de la información dentro de los acuerdos de proveedores.</t>
  </si>
  <si>
    <t>Tener en cuenta para la celebración de contratos con proveedores TIC, los requisitos legales, estatutarios, regulatorios, así como los contractuales, incluyendo la protección de datos personales, el tratamiento de la información personal identificable (PII), los derechos de propiedad intelectual y derechos de autor, y describir cómo se garantizará que se cumplen.
Definir indemnizaciones y subsanaciones en caso de que el contratista incumpla los requisitos.
Garantizar, al final del contrato, la transferencia del soporte del software adquirido a la entidad o a otro proveedor.</t>
  </si>
  <si>
    <t>Todas las secretarias u oficinas que contraten con proveedores TICS
Contratación
Oficina TIC</t>
  </si>
  <si>
    <t>Cuatrimestral</t>
  </si>
  <si>
    <t>8.20 Seguridad de redes</t>
  </si>
  <si>
    <t>Elaborar procedimiento de seguridad de las redes que incluya lo siguiente:
Se establezcan responsabilidades y procedimientos para la gestión de equipos y dispositivos de red.
Mantener la documentación actualizada, incluidos los diagramas de red y los archivos de configuración.
Procedimiento para restringir y filtrar la conexión de los sistemas a la red a traves de firewalls.
Procedimiento de autenticación en la red de los dispositivos.
Procedimiento para detectar, restringir y autenticar la conexión de equipos y dispositivos a la red.
Procedimiento de segmentación de la red y desactivación de protocolos de red vulnerables.</t>
  </si>
  <si>
    <t>Reputacional</t>
  </si>
  <si>
    <t>Accesos no autorizados a los sistemas de información
Desactualización de software</t>
  </si>
  <si>
    <t>Usuarios con permisos de administrador
Se comparten usuarios y contraseñas de aplicaciones
Cuentas de usuario activas de extrabajadores
Perfiles y permisos desactualizados
Pruebas de controles de autenticación y verificación de datos de entrada y salida deficientes.
Sistemas Operativos  y Sistemas de Información desactualizados (equipos / servidores) y la no aplicación de actualizaciones y parches de seguridad</t>
  </si>
  <si>
    <t>Posibilidad de pérdida de integridad de la información digital almacenada, procesada y manejada en los sistemas de información, debido a  accesos no autorizados, suplantación de identidad y ataques por vulnerabilidades no parcheadas</t>
  </si>
  <si>
    <t>Ejecucion y Administracion de procesos</t>
  </si>
  <si>
    <t xml:space="preserve">     El riesgo afecta la imagen de de la entidad con efecto publicitario sostenido a nivel de sector administrativo, nivel departamental o municipal</t>
  </si>
  <si>
    <t>5.16 Gestión de identidad</t>
  </si>
  <si>
    <t>Automático</t>
  </si>
  <si>
    <t>Incluir dentro de la política de seguridad de la información los siguientes lineamientos:
Un nombre de usuario específico sólo debe estar  vinculado a una única persona para poder responsabilizarla de las acciones realizadas con ese usuario específico.
Los nombres de usuarios asignados a múltiples personas (por ejemplo, usuarios compartidos) sólo deben estar permitidos cuando son necesarios por razones operativas y den estar aprobadas por el jefe del área y documentada.
La información secreta de autenticación utilizada en el contexto de nombres de usuarios vinculados a múltiples funcionarios y/o contratistas, se comparte únicamente con personas autorizadas.</t>
  </si>
  <si>
    <t>5.18 Derechos de acceso</t>
  </si>
  <si>
    <t>Incluir dentro de la política de seguridad de la información los siguientes lineamientos:
Garantizar que los accesos a los sistemas de información son eliminados cuando alguien no necesita acceder a la información y a otros activos asociados, en particular garantizando que los funcionarios que han renunciado al cargo o finalizado su vinculación contractual son eliminados en el momento oportuno.
Modificar los accesos a los sistemas de información, de los usuarios que hayan cambiado de rol o de trabajo.</t>
  </si>
  <si>
    <t>8.8 Gestión de vulnerabilidades técnicas</t>
  </si>
  <si>
    <t>Implementarse un proceso de gestión de actualizaciones de software, en el que se tenga en cuenta lo siguiente:
Garantizar que se instalan los parches aprobados y las actualizaciones de aplicaciones más recientes para todo el software autorizado. Si es necesario realizar cambios, estos deben ser aprobados y documentados.
Utilizar únicamente actualizaciones de fuentes legítimas.
Respecto del software adquirido, si los proveedores publican regularmente información sobre las actualizaciones de seguridad para su software y proporcionan la posibilidad de instalar dichas actualizaciones de forma automatizada se debe usar la actualización automática.</t>
  </si>
  <si>
    <t>Disrupción de servicios</t>
  </si>
  <si>
    <t>Falta de infraestructura de respuesta ante desastres
Falta de sistemas de respaldo eléctrico (UPS)
Red energética inestable
Susceptibilidad a las variaciones de voltaje.
Eventos naturales</t>
  </si>
  <si>
    <t>Posibilidad de pérdida de disponibilidad de la información, sistemas de información e infraestructura tecnológica debido a desastres naturales, ataques internos/externos, vandalismo o corte/fluctuación de energía eléctrica.</t>
  </si>
  <si>
    <t>Fallas Tecnologicas</t>
  </si>
  <si>
    <t>5.30 Preparación para las TIC para la continuidad del negocio.</t>
  </si>
  <si>
    <t>Elaborar y establecer  planes de continuidad de las TIC, incluidos los procedimientos de respuesta y recuperación que detallen cómo la organización planea gestionar una interrupción de un servicio TIC.
Los planes de continuidad de las TIC deben incluir la siguiente información:
Especificaciones de rendimiento y capacidad para cumplir los requerimientos de continuidad de negocio y los objetivos como deben estar especificados en la BIA (Analis de impacto del negocio)
El RTO (tiempo de recurperación del servicio) de cada servicio TIC prioritario y los procedimientos para restaurar estos componentes.
El RPO (punto de recuperación del servicio) de los recursos TIC prioritarios definido, así como la información y los procedimientos para restaurar la información.</t>
  </si>
  <si>
    <t>7.8 Emplazamiento y protección de equipos</t>
  </si>
  <si>
    <t xml:space="preserve">Incluir dentro de la política de seguridad digital lineamientos para el cumplimiento de:
Directrices para comer, beber y fumar cerca de las instalaciones de tratamiento de la información.
Controlar las condiciones ambientales, como la temperatura y la humedad, para detectar condiciones que puedan afectar negativamente al funcionamiento de las instalaciones de tratamiento de la información.
Aplicar protección contra rayos a todos los edificios e instalar filtros de protección contra rayos en todas las entradas de alimentación eléctrica y líneas de comunicaciones.
Proteger los equipos que procesan información confidencial para minimizar el riesgo de fuga de información debido a la emanación electromagnética.
</t>
  </si>
  <si>
    <t>7.3 Proteccion de oficinas, salas e instalaciones</t>
  </si>
  <si>
    <t>Incluir dentro de la política de seguridad lineamientos relacionados con: ubicar adecuadamente las instalaciones críticas para evitar el acceso del público, cuando sea aplicable, garantizar que los edificios sean discretos y dar una indicación
mínima de su propósito, sin señales obvias, fuera o dentro del edificio, identificando la
presencia de actividades de procesamiento de información, configurar las funciones para evitar que la información confidencial o las actividades
sean visibles y audibles desde el exterior, no tener directorios, orientación telefónicas internas y mapas accesibles en línea
que identifiquen ubicaciones de instalaciones de procesamiento de información confidencial fácilmente disponibles para cualquier persona no autorizada._x000D_</t>
  </si>
  <si>
    <t xml:space="preserve">Incumplimiento o falta de implementación de políticas de seguridad de la información para sistemas de información.
Sistemas Operativos desactualizados (equipos/servidores) y la no aplicación de actualizaciones y parches de seguridad.
Vulnerabilidades de sistemas de información que faciliten ataques externos.
Falla técnicas en el Software  (Aplicación - Base de Datos - Sistema Operativos)
Vencimiento de licencias 
Afectación por malware, virus, ransomware
</t>
  </si>
  <si>
    <t>Posibilidad de perdida de disponibilidad de los sistemas de información e información debido a Incumplimiento o falta de implementación de políticas de seguridad de la información, falta de  seguridad en el ciclo de vida del desarrollo seguro y falta de abordar la seguridad de la información dentro de los acuerdos de proveedores de sistemas o software.</t>
  </si>
  <si>
    <t>8.32 Gestión de cambios</t>
  </si>
  <si>
    <t>Realizar un procedimiento y formato de gestión de cambios tecnológicos, en el cual incluya: la planificación y evaluación del impacto potencial de los cambios tomando en consideración todas
las dependencias, autorización de los cambios, realizar pruebas internas y pruebas de aceptación para los cambios, consideraciones de emergencia y contingencia, incluidos los procedimientos de repliegue, mantener registros de los cambios que incluyan todo lo anterior.</t>
  </si>
  <si>
    <t>8.25 Seguridad en el ciclo de vida del desarrollo</t>
  </si>
  <si>
    <t>Actualizar y gestionar su publicación en kawak del procedimiento de desarrollos de software seguros en el cual se tenga en cuenta los siguiente:
Separación de los entornos de desarrollo, prueba y producción.
Los requisitos de seguridad en la fase de especificación y diseño.
Los puntos de revisión de seguridad en proyectos de desarrollo
Las pruebas de sistema y seguridad tales como pruebas de regresión, escaneo de código y pruebas de penetración.
Repositorios seguros de código fuente y la configuración.
Seguridad en el control de versiones.
Capacidad de los desarrolladores para prevenir, encontrar y corregir vulnerabilidades.
Requisitos de licencia y las alternativas para asegurar soluciones efectivas evitando futuros problemas de licenciamiento.</t>
  </si>
  <si>
    <t>5.20 Abordar la seguridad de la informacion dentro de los acuerdos de proveedores</t>
  </si>
  <si>
    <t xml:space="preserve">Tener en cuenta para la celebración de contratos con proveedores TIC, los requisitos legales, estatutarios, regulatorios, así como los contractuales, incluyendo la protección de datos personales, el tratamiento de la información personal identificable (PII), los derechos de propiedad intelectual y derechos de autor, y describir cómo se garantizará que se cumplen.
Definir indemnizaciones y subsanaciones en caso de que el contratista incumpla los requisitos.
Garantizar, al final del contrato, la transferencia del soporte del software adquirido a la entidad o a otro proveedor.
En caso de  que se  adquiera licencia por uso de  software en tiempo  definido,  especificar  la entrega  oportuna o método del software y/o aplicación, para la  descarga de la información, que en todos los casos  pertenece a la  administración municipal. </t>
  </si>
  <si>
    <t>5.21 Gestión de la seguridad de la información en la cadena de suministro de las TIC</t>
  </si>
  <si>
    <t>Validar que los productos y servicios de TIC suministrados cumplan los requisitos de seguridad establecidos, mediante pruebas de penetración, validación de firmas digitales y de los certificados de terceros para las operaciones de seguridad de la información del proveedor.
Definir reglas para el intercambio de información con respecto a la cadena de suministro y la gestión de posibles problemas y compromisos entre la alcaldía municipal de Chía y los proveedores.</t>
  </si>
  <si>
    <t>8.7 Protección contra malware</t>
  </si>
  <si>
    <t>Validar que la protección contra el malware se base en software de detección y reparación de
malware, implementar reglas y controles que impidan o detecten el uso de software no autorizado, implementar controles que impidan o detecten el uso de sitios web maliciosos conocidos
o sospechosos, instalar y actualizar periódicamente el software de detección y reparación de malware
para analizar computadores y medios de almacenamiento electrónicos, verificar que la información relacionada con el malware, como los boletines de advertencia, proviene de fuentes calificadas y fiables</t>
  </si>
  <si>
    <t>5.31 Identificación de requisitos legales, reglamentarios y contractuales.</t>
  </si>
  <si>
    <t>Definir  dentro de los requisitos contractuales,  y teniendo en cuenta el  tipo del producto,  la  exigencia  como canal y/o parthner autorizado as,í como si aplica, los  derechos  de autor y/o  usufructo con los proveedores relevantes para la alcaldía municipal de Chía y el alcance del suministro de productos y servicios.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</si>
  <si>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</si>
  <si>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</si>
  <si>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</si>
  <si>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</si>
  <si>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</si>
  <si>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</si>
  <si>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</si>
  <si>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</si>
  <si>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</si>
  <si>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</si>
  <si>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</si>
  <si>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</si>
  <si>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</si>
  <si>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</si>
  <si>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</si>
  <si>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</si>
  <si>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</si>
  <si>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</si>
  <si>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</si>
  <si>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</si>
  <si>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</si>
  <si>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</si>
  <si>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</si>
  <si>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</si>
  <si>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</si>
  <si>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</si>
  <si>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</si>
  <si>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</si>
  <si>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</si>
  <si>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</si>
  <si>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</si>
  <si>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</si>
  <si>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</si>
  <si>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</si>
  <si>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</si>
  <si>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</si>
  <si>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</si>
  <si>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</si>
  <si>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</si>
  <si>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</si>
  <si>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</si>
  <si>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</si>
  <si>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</si>
  <si>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</si>
  <si>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</si>
  <si>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</si>
  <si>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</si>
  <si>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</si>
  <si>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</si>
  <si>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</si>
  <si>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</si>
  <si>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</si>
  <si>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</si>
  <si>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</si>
  <si>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</si>
  <si>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</si>
  <si>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</si>
  <si>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</si>
  <si>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</si>
  <si>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</si>
  <si>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</si>
  <si>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</si>
  <si>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</si>
  <si>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</si>
  <si>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</si>
  <si>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</si>
  <si>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</si>
  <si>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</si>
  <si>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</si>
  <si>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</si>
  <si>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</si>
  <si>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</si>
  <si>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</si>
  <si>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</si>
  <si>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</si>
  <si>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</si>
  <si>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</si>
  <si>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</si>
  <si>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</si>
  <si>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</si>
  <si>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</si>
  <si>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</si>
  <si>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</si>
  <si>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</si>
  <si>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</si>
  <si>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</si>
  <si>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</si>
  <si>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</si>
  <si>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</si>
  <si>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</si>
  <si>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</si>
  <si>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</si>
  <si>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</si>
  <si>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</si>
  <si>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</si>
  <si>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</si>
  <si>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</si>
  <si>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</si>
  <si>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</si>
  <si>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Daños Activos Fisicos</t>
  </si>
  <si>
    <t>Fraude Externo</t>
  </si>
  <si>
    <t>Fraude Interno</t>
  </si>
  <si>
    <t>Relaciones Laborales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</si>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</sst>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1"/>
      <color theme="1"/>
      <name val="Arial Narrow"/>
    </font>
    <font>
      <sz val="11"/>
      <color rgb="FF000000"/>
      <name val="Arial Narrow"/>
      <charset val="1"/>
    </font>
    <font>
      <sz val="11"/>
      <color rgb="FF00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ashed">
        <color rgb="FFE26B0A"/>
      </left>
      <right style="dashed">
        <color rgb="FFE26B0A"/>
      </right>
      <top style="dashed">
        <color rgb="FFE26B0A"/>
      </top>
      <bottom style="dashed">
        <color rgb="FFE26B0A"/>
      </bottom>
      <diagonal/>
    </border>
    <border>
      <left/>
      <right style="dashed">
        <color rgb="FFE26B0A"/>
      </right>
      <top style="dashed">
        <color rgb="FFE26B0A"/>
      </top>
      <bottom style="dashed">
        <color rgb="FFE26B0A"/>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39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xf numFmtId="0" fontId="49" fillId="3" borderId="52" xfId="2" applyFont="1" applyFill="1" applyBorder="1"/>
    <xf numFmtId="0" fontId="49" fillId="3" borderId="53"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5" borderId="45" xfId="0" applyFont="1" applyFill="1" applyBorder="1" applyAlignment="1">
      <alignment horizontal="center" vertical="center" wrapText="1" readingOrder="1"/>
    </xf>
    <xf numFmtId="0" fontId="37" fillId="15" borderId="46"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8" fillId="2" borderId="2" xfId="0" applyFont="1" applyFill="1" applyBorder="1" applyAlignment="1">
      <alignment horizontal="center" vertical="center" textRotation="90"/>
    </xf>
    <xf numFmtId="0" fontId="59" fillId="0" borderId="2" xfId="0" applyFont="1" applyBorder="1" applyAlignment="1" applyProtection="1">
      <alignment horizontal="center" vertical="top" textRotation="90"/>
      <protection locked="0"/>
    </xf>
    <xf numFmtId="0" fontId="59" fillId="0" borderId="2" xfId="0" applyFont="1" applyBorder="1" applyAlignment="1" applyProtection="1">
      <alignment horizontal="left" vertical="top" wrapText="1"/>
      <protection locked="0"/>
    </xf>
    <xf numFmtId="0" fontId="59" fillId="0" borderId="2" xfId="0" applyFont="1" applyBorder="1" applyAlignment="1" applyProtection="1">
      <alignment horizontal="center" vertical="top" wrapText="1"/>
      <protection locked="0"/>
    </xf>
    <xf numFmtId="0" fontId="50" fillId="14" borderId="48" xfId="2" applyFont="1" applyFill="1" applyBorder="1" applyAlignment="1">
      <alignment horizontal="center" vertical="center" wrapText="1"/>
    </xf>
    <xf numFmtId="0" fontId="50" fillId="14" borderId="49" xfId="2" applyFont="1" applyFill="1" applyBorder="1" applyAlignment="1">
      <alignment horizontal="center" vertical="center" wrapText="1"/>
    </xf>
    <xf numFmtId="0" fontId="50" fillId="14" borderId="50"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49" fillId="0" borderId="69" xfId="2" quotePrefix="1" applyFont="1" applyBorder="1" applyAlignment="1">
      <alignment horizontal="left" vertical="center" wrapText="1"/>
    </xf>
    <xf numFmtId="0" fontId="49" fillId="0" borderId="70" xfId="2" quotePrefix="1" applyFont="1" applyBorder="1" applyAlignment="1">
      <alignment horizontal="left" vertical="center" wrapText="1"/>
    </xf>
    <xf numFmtId="0" fontId="51" fillId="3" borderId="51" xfId="2" quotePrefix="1" applyFont="1" applyFill="1" applyBorder="1" applyAlignment="1">
      <alignment horizontal="left" vertical="top" wrapText="1"/>
    </xf>
    <xf numFmtId="0" fontId="52" fillId="3" borderId="52" xfId="2" quotePrefix="1" applyFont="1" applyFill="1" applyBorder="1" applyAlignment="1">
      <alignment horizontal="left" vertical="top" wrapText="1"/>
    </xf>
    <xf numFmtId="0" fontId="52" fillId="3" borderId="53"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4" xfId="3" applyFont="1" applyFill="1" applyBorder="1" applyAlignment="1">
      <alignment horizontal="center" vertical="center" wrapText="1"/>
    </xf>
    <xf numFmtId="0" fontId="54" fillId="14" borderId="55" xfId="3" applyFont="1" applyFill="1" applyBorder="1" applyAlignment="1">
      <alignment horizontal="center" vertical="center" wrapText="1"/>
    </xf>
    <xf numFmtId="0" fontId="54" fillId="14" borderId="56" xfId="2" applyFont="1" applyFill="1" applyBorder="1" applyAlignment="1">
      <alignment horizontal="center" vertical="center"/>
    </xf>
    <xf numFmtId="0" fontId="54"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4" fillId="3" borderId="58" xfId="3" applyFont="1" applyFill="1" applyBorder="1" applyAlignment="1">
      <alignment horizontal="left" vertical="top" wrapText="1" readingOrder="1"/>
    </xf>
    <xf numFmtId="0" fontId="54" fillId="3" borderId="59" xfId="3" applyFont="1" applyFill="1" applyBorder="1" applyAlignment="1">
      <alignment horizontal="left" vertical="top" wrapText="1" readingOrder="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2" xfId="0" applyFont="1" applyFill="1" applyBorder="1" applyAlignment="1">
      <alignment horizontal="left" vertical="center" wrapText="1"/>
    </xf>
    <xf numFmtId="0" fontId="54" fillId="3" borderId="63" xfId="0" applyFont="1" applyFill="1" applyBorder="1" applyAlignment="1">
      <alignment horizontal="left" vertical="center" wrapText="1"/>
    </xf>
    <xf numFmtId="0" fontId="55" fillId="3" borderId="64" xfId="2" applyFont="1" applyFill="1" applyBorder="1" applyAlignment="1">
      <alignment horizontal="justify" vertical="center" wrapText="1"/>
    </xf>
    <xf numFmtId="0" fontId="55" fillId="3" borderId="65"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4" fillId="3" borderId="73" xfId="0" applyFont="1" applyFill="1" applyBorder="1" applyAlignment="1">
      <alignment horizontal="left" vertical="center" wrapText="1"/>
    </xf>
    <xf numFmtId="0" fontId="54" fillId="3" borderId="74" xfId="0" applyFont="1" applyFill="1" applyBorder="1" applyAlignment="1">
      <alignment horizontal="left" vertical="center" wrapText="1"/>
    </xf>
    <xf numFmtId="0" fontId="55" fillId="3" borderId="66" xfId="0" applyFont="1" applyFill="1" applyBorder="1" applyAlignment="1">
      <alignment horizontal="justify" vertical="center" wrapText="1"/>
    </xf>
    <xf numFmtId="0" fontId="55" fillId="3" borderId="67" xfId="0" applyFont="1" applyFill="1" applyBorder="1" applyAlignment="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58" fillId="2" borderId="2" xfId="0" applyFont="1" applyFill="1" applyBorder="1" applyAlignment="1">
      <alignment horizontal="center" vertical="center" textRotation="90" wrapText="1"/>
    </xf>
    <xf numFmtId="0" fontId="58" fillId="2" borderId="5" xfId="0" applyFont="1" applyFill="1" applyBorder="1" applyAlignment="1">
      <alignment horizontal="center" vertical="center" wrapText="1"/>
    </xf>
    <xf numFmtId="0" fontId="58" fillId="2" borderId="2" xfId="0" applyFont="1" applyFill="1" applyBorder="1" applyAlignment="1">
      <alignment horizontal="center" vertical="center" wrapText="1"/>
    </xf>
    <xf numFmtId="0" fontId="58" fillId="2" borderId="8" xfId="0" applyFont="1" applyFill="1" applyBorder="1" applyAlignment="1">
      <alignment horizontal="center" vertical="center" wrapText="1"/>
    </xf>
    <xf numFmtId="0" fontId="58" fillId="2" borderId="9" xfId="0" applyFont="1" applyFill="1" applyBorder="1" applyAlignment="1">
      <alignment horizontal="center" vertical="center"/>
    </xf>
    <xf numFmtId="0" fontId="58" fillId="2" borderId="3" xfId="0" applyFont="1" applyFill="1" applyBorder="1" applyAlignment="1">
      <alignment horizontal="center" vertical="center"/>
    </xf>
    <xf numFmtId="0" fontId="58" fillId="2" borderId="9" xfId="0" applyFont="1" applyFill="1" applyBorder="1" applyAlignment="1">
      <alignment horizontal="center" vertical="center" wrapText="1"/>
    </xf>
    <xf numFmtId="0" fontId="58" fillId="2" borderId="2" xfId="0" applyFont="1" applyFill="1" applyBorder="1" applyAlignment="1">
      <alignment horizontal="center" vertical="center"/>
    </xf>
    <xf numFmtId="0" fontId="58"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58" fillId="2" borderId="4" xfId="0" applyFont="1" applyFill="1" applyBorder="1" applyAlignment="1">
      <alignment horizontal="center" vertical="center" textRotation="90"/>
    </xf>
    <xf numFmtId="0" fontId="58" fillId="2" borderId="5" xfId="0" applyFont="1" applyFill="1" applyBorder="1" applyAlignment="1">
      <alignment horizontal="center" vertical="center" textRotation="90"/>
    </xf>
    <xf numFmtId="0" fontId="58" fillId="2" borderId="5" xfId="0" applyFont="1" applyFill="1" applyBorder="1" applyAlignment="1">
      <alignment horizontal="center" vertical="center"/>
    </xf>
    <xf numFmtId="0" fontId="58" fillId="2" borderId="4" xfId="0" applyFont="1" applyFill="1" applyBorder="1" applyAlignment="1">
      <alignment horizontal="center" vertical="center" textRotation="90" wrapText="1"/>
    </xf>
    <xf numFmtId="0" fontId="58"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0" fillId="0" borderId="4" xfId="0" applyFont="1" applyBorder="1" applyAlignment="1" applyProtection="1">
      <alignment horizontal="center" vertical="top" wrapText="1"/>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58" fillId="2" borderId="6" xfId="0" applyFont="1" applyFill="1" applyBorder="1" applyAlignment="1">
      <alignment horizontal="center" vertical="center"/>
    </xf>
    <xf numFmtId="0" fontId="58" fillId="2" borderId="10" xfId="0" applyFont="1" applyFill="1" applyBorder="1" applyAlignment="1">
      <alignment horizontal="center" vertical="center"/>
    </xf>
    <xf numFmtId="0" fontId="58"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5" xfId="0" applyFont="1" applyFill="1" applyBorder="1" applyAlignment="1">
      <alignment horizontal="center" vertical="center" wrapText="1" readingOrder="1"/>
    </xf>
    <xf numFmtId="0" fontId="40" fillId="15" borderId="36" xfId="0" applyFont="1" applyFill="1" applyBorder="1" applyAlignment="1">
      <alignment horizontal="center" vertical="center" wrapText="1" readingOrder="1"/>
    </xf>
    <xf numFmtId="0" fontId="40" fillId="15"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4" xfId="0" applyFont="1" applyFill="1" applyBorder="1" applyAlignment="1">
      <alignment horizontal="center" vertical="center" wrapText="1" readingOrder="1"/>
    </xf>
    <xf numFmtId="0" fontId="37" fillId="15"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61" fillId="0" borderId="75" xfId="0" applyFont="1" applyBorder="1" applyAlignment="1">
      <alignment horizontal="center" vertical="center" wrapText="1"/>
    </xf>
    <xf numFmtId="14" fontId="61" fillId="0" borderId="76" xfId="0" applyNumberFormat="1" applyFont="1" applyBorder="1" applyAlignment="1">
      <alignment horizontal="center" vertical="center"/>
    </xf>
    <xf numFmtId="0" fontId="61" fillId="0" borderId="76" xfId="0" applyFont="1" applyBorder="1" applyAlignment="1">
      <alignment horizontal="center" vertical="center" wrapText="1"/>
    </xf>
    <xf numFmtId="0" fontId="61" fillId="0" borderId="76" xfId="0" applyFont="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428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2" zoomScale="110" zoomScaleNormal="110" workbookViewId="0">
      <selection activeCell="G36" sqref="G36"/>
    </sheetView>
  </sheetViews>
  <sheetFormatPr defaultColWidth="11.42578125" defaultRowHeight="15"/>
  <cols>
    <col min="1" max="1" width="2.85546875" style="82" customWidth="1"/>
    <col min="2" max="3" width="24.7109375" style="82" customWidth="1"/>
    <col min="4" max="4" width="16" style="82" customWidth="1"/>
    <col min="5" max="5" width="24.7109375" style="82" customWidth="1"/>
    <col min="6" max="6" width="27.7109375" style="82" customWidth="1"/>
    <col min="7" max="8" width="24.7109375" style="82" customWidth="1"/>
    <col min="9" max="16384" width="11.42578125" style="82"/>
  </cols>
  <sheetData>
    <row r="1" spans="2:8" ht="15.75" thickBot="1"/>
    <row r="2" spans="2:8" ht="18">
      <c r="B2" s="141" t="s">
        <v>0</v>
      </c>
      <c r="C2" s="142"/>
      <c r="D2" s="142"/>
      <c r="E2" s="142"/>
      <c r="F2" s="142"/>
      <c r="G2" s="142"/>
      <c r="H2" s="143"/>
    </row>
    <row r="3" spans="2:8">
      <c r="B3" s="83"/>
      <c r="C3" s="84"/>
      <c r="D3" s="84"/>
      <c r="E3" s="84"/>
      <c r="F3" s="84"/>
      <c r="G3" s="84"/>
      <c r="H3" s="85"/>
    </row>
    <row r="4" spans="2:8" ht="63" customHeight="1">
      <c r="B4" s="144" t="s">
        <v>1</v>
      </c>
      <c r="C4" s="145"/>
      <c r="D4" s="145"/>
      <c r="E4" s="145"/>
      <c r="F4" s="145"/>
      <c r="G4" s="145"/>
      <c r="H4" s="146"/>
    </row>
    <row r="5" spans="2:8" ht="63" customHeight="1">
      <c r="B5" s="147"/>
      <c r="C5" s="148"/>
      <c r="D5" s="148"/>
      <c r="E5" s="148"/>
      <c r="F5" s="148"/>
      <c r="G5" s="148"/>
      <c r="H5" s="149"/>
    </row>
    <row r="6" spans="2:8" ht="16.5">
      <c r="B6" s="150" t="s">
        <v>2</v>
      </c>
      <c r="C6" s="151"/>
      <c r="D6" s="151"/>
      <c r="E6" s="151"/>
      <c r="F6" s="151"/>
      <c r="G6" s="151"/>
      <c r="H6" s="152"/>
    </row>
    <row r="7" spans="2:8" ht="95.25" customHeight="1">
      <c r="B7" s="160" t="s">
        <v>3</v>
      </c>
      <c r="C7" s="161"/>
      <c r="D7" s="161"/>
      <c r="E7" s="161"/>
      <c r="F7" s="161"/>
      <c r="G7" s="161"/>
      <c r="H7" s="162"/>
    </row>
    <row r="8" spans="2:8" ht="16.5">
      <c r="B8" s="119"/>
      <c r="C8" s="120"/>
      <c r="D8" s="120"/>
      <c r="E8" s="120"/>
      <c r="F8" s="120"/>
      <c r="G8" s="120"/>
      <c r="H8" s="121"/>
    </row>
    <row r="9" spans="2:8" ht="16.5" customHeight="1">
      <c r="B9" s="153" t="s">
        <v>4</v>
      </c>
      <c r="C9" s="154"/>
      <c r="D9" s="154"/>
      <c r="E9" s="154"/>
      <c r="F9" s="154"/>
      <c r="G9" s="154"/>
      <c r="H9" s="155"/>
    </row>
    <row r="10" spans="2:8" ht="44.25" customHeight="1">
      <c r="B10" s="153"/>
      <c r="C10" s="154"/>
      <c r="D10" s="154"/>
      <c r="E10" s="154"/>
      <c r="F10" s="154"/>
      <c r="G10" s="154"/>
      <c r="H10" s="155"/>
    </row>
    <row r="11" spans="2:8" ht="15.75" thickBot="1">
      <c r="B11" s="108"/>
      <c r="C11" s="111"/>
      <c r="D11" s="116"/>
      <c r="E11" s="117"/>
      <c r="F11" s="117"/>
      <c r="G11" s="118"/>
      <c r="H11" s="112"/>
    </row>
    <row r="12" spans="2:8" ht="15.75" thickTop="1">
      <c r="B12" s="108"/>
      <c r="C12" s="156" t="s">
        <v>5</v>
      </c>
      <c r="D12" s="157"/>
      <c r="E12" s="158" t="s">
        <v>6</v>
      </c>
      <c r="F12" s="159"/>
      <c r="G12" s="111"/>
      <c r="H12" s="112"/>
    </row>
    <row r="13" spans="2:8" ht="35.25" customHeight="1">
      <c r="B13" s="108"/>
      <c r="C13" s="163" t="s">
        <v>7</v>
      </c>
      <c r="D13" s="164"/>
      <c r="E13" s="165" t="s">
        <v>8</v>
      </c>
      <c r="F13" s="166"/>
      <c r="G13" s="111"/>
      <c r="H13" s="112"/>
    </row>
    <row r="14" spans="2:8" ht="17.25" customHeight="1">
      <c r="B14" s="108"/>
      <c r="C14" s="163" t="s">
        <v>9</v>
      </c>
      <c r="D14" s="164"/>
      <c r="E14" s="165" t="s">
        <v>10</v>
      </c>
      <c r="F14" s="166"/>
      <c r="G14" s="111"/>
      <c r="H14" s="112"/>
    </row>
    <row r="15" spans="2:8" ht="19.5" customHeight="1">
      <c r="B15" s="108"/>
      <c r="C15" s="163" t="s">
        <v>11</v>
      </c>
      <c r="D15" s="164"/>
      <c r="E15" s="165" t="s">
        <v>12</v>
      </c>
      <c r="F15" s="166"/>
      <c r="G15" s="111"/>
      <c r="H15" s="112"/>
    </row>
    <row r="16" spans="2:8" ht="69.75" customHeight="1">
      <c r="B16" s="108"/>
      <c r="C16" s="163" t="s">
        <v>13</v>
      </c>
      <c r="D16" s="164"/>
      <c r="E16" s="165" t="s">
        <v>14</v>
      </c>
      <c r="F16" s="166"/>
      <c r="G16" s="111"/>
      <c r="H16" s="112"/>
    </row>
    <row r="17" spans="2:8" ht="34.5" customHeight="1">
      <c r="B17" s="108"/>
      <c r="C17" s="167" t="s">
        <v>15</v>
      </c>
      <c r="D17" s="168"/>
      <c r="E17" s="169" t="s">
        <v>16</v>
      </c>
      <c r="F17" s="170"/>
      <c r="G17" s="111"/>
      <c r="H17" s="112"/>
    </row>
    <row r="18" spans="2:8" ht="27.75" customHeight="1">
      <c r="B18" s="108"/>
      <c r="C18" s="167" t="s">
        <v>17</v>
      </c>
      <c r="D18" s="168"/>
      <c r="E18" s="169" t="s">
        <v>18</v>
      </c>
      <c r="F18" s="170"/>
      <c r="G18" s="111"/>
      <c r="H18" s="112"/>
    </row>
    <row r="19" spans="2:8" ht="28.5" customHeight="1">
      <c r="B19" s="108"/>
      <c r="C19" s="167" t="s">
        <v>19</v>
      </c>
      <c r="D19" s="168"/>
      <c r="E19" s="169" t="s">
        <v>20</v>
      </c>
      <c r="F19" s="170"/>
      <c r="G19" s="111"/>
      <c r="H19" s="112"/>
    </row>
    <row r="20" spans="2:8" ht="72.75" customHeight="1">
      <c r="B20" s="108"/>
      <c r="C20" s="167" t="s">
        <v>21</v>
      </c>
      <c r="D20" s="168"/>
      <c r="E20" s="169" t="s">
        <v>22</v>
      </c>
      <c r="F20" s="170"/>
      <c r="G20" s="111"/>
      <c r="H20" s="112"/>
    </row>
    <row r="21" spans="2:8" ht="64.5" customHeight="1">
      <c r="B21" s="108"/>
      <c r="C21" s="167" t="s">
        <v>23</v>
      </c>
      <c r="D21" s="168"/>
      <c r="E21" s="169" t="s">
        <v>24</v>
      </c>
      <c r="F21" s="170"/>
      <c r="G21" s="111"/>
      <c r="H21" s="112"/>
    </row>
    <row r="22" spans="2:8" ht="71.25" customHeight="1">
      <c r="B22" s="108"/>
      <c r="C22" s="167" t="s">
        <v>25</v>
      </c>
      <c r="D22" s="168"/>
      <c r="E22" s="169" t="s">
        <v>26</v>
      </c>
      <c r="F22" s="170"/>
      <c r="G22" s="111"/>
      <c r="H22" s="112"/>
    </row>
    <row r="23" spans="2:8" ht="55.5" customHeight="1">
      <c r="B23" s="108"/>
      <c r="C23" s="174" t="s">
        <v>27</v>
      </c>
      <c r="D23" s="175"/>
      <c r="E23" s="169" t="s">
        <v>28</v>
      </c>
      <c r="F23" s="170"/>
      <c r="G23" s="111"/>
      <c r="H23" s="112"/>
    </row>
    <row r="24" spans="2:8" ht="42" customHeight="1">
      <c r="B24" s="108"/>
      <c r="C24" s="174" t="s">
        <v>29</v>
      </c>
      <c r="D24" s="175"/>
      <c r="E24" s="169" t="s">
        <v>30</v>
      </c>
      <c r="F24" s="170"/>
      <c r="G24" s="111"/>
      <c r="H24" s="112"/>
    </row>
    <row r="25" spans="2:8" ht="59.25" customHeight="1">
      <c r="B25" s="108"/>
      <c r="C25" s="174" t="s">
        <v>31</v>
      </c>
      <c r="D25" s="175"/>
      <c r="E25" s="169" t="s">
        <v>32</v>
      </c>
      <c r="F25" s="170"/>
      <c r="G25" s="111"/>
      <c r="H25" s="112"/>
    </row>
    <row r="26" spans="2:8" ht="23.25" customHeight="1">
      <c r="B26" s="108"/>
      <c r="C26" s="174" t="s">
        <v>33</v>
      </c>
      <c r="D26" s="175"/>
      <c r="E26" s="169" t="s">
        <v>34</v>
      </c>
      <c r="F26" s="170"/>
      <c r="G26" s="111"/>
      <c r="H26" s="112"/>
    </row>
    <row r="27" spans="2:8" ht="30.75" customHeight="1">
      <c r="B27" s="108"/>
      <c r="C27" s="174" t="s">
        <v>35</v>
      </c>
      <c r="D27" s="175"/>
      <c r="E27" s="169" t="s">
        <v>36</v>
      </c>
      <c r="F27" s="170"/>
      <c r="G27" s="111"/>
      <c r="H27" s="112"/>
    </row>
    <row r="28" spans="2:8" ht="35.25" customHeight="1">
      <c r="B28" s="108"/>
      <c r="C28" s="174" t="s">
        <v>37</v>
      </c>
      <c r="D28" s="175"/>
      <c r="E28" s="169" t="s">
        <v>38</v>
      </c>
      <c r="F28" s="170"/>
      <c r="G28" s="111"/>
      <c r="H28" s="112"/>
    </row>
    <row r="29" spans="2:8" ht="33" customHeight="1">
      <c r="B29" s="108"/>
      <c r="C29" s="174" t="s">
        <v>37</v>
      </c>
      <c r="D29" s="175"/>
      <c r="E29" s="169" t="s">
        <v>38</v>
      </c>
      <c r="F29" s="170"/>
      <c r="G29" s="111"/>
      <c r="H29" s="112"/>
    </row>
    <row r="30" spans="2:8" ht="30" customHeight="1">
      <c r="B30" s="108"/>
      <c r="C30" s="174" t="s">
        <v>39</v>
      </c>
      <c r="D30" s="175"/>
      <c r="E30" s="169" t="s">
        <v>40</v>
      </c>
      <c r="F30" s="170"/>
      <c r="G30" s="111"/>
      <c r="H30" s="112"/>
    </row>
    <row r="31" spans="2:8" ht="35.25" customHeight="1">
      <c r="B31" s="108"/>
      <c r="C31" s="174" t="s">
        <v>41</v>
      </c>
      <c r="D31" s="175"/>
      <c r="E31" s="169" t="s">
        <v>42</v>
      </c>
      <c r="F31" s="170"/>
      <c r="G31" s="111"/>
      <c r="H31" s="112"/>
    </row>
    <row r="32" spans="2:8" ht="31.5" customHeight="1">
      <c r="B32" s="108"/>
      <c r="C32" s="174" t="s">
        <v>43</v>
      </c>
      <c r="D32" s="175"/>
      <c r="E32" s="169" t="s">
        <v>44</v>
      </c>
      <c r="F32" s="170"/>
      <c r="G32" s="111"/>
      <c r="H32" s="112"/>
    </row>
    <row r="33" spans="2:8" ht="35.25" customHeight="1">
      <c r="B33" s="108"/>
      <c r="C33" s="174" t="s">
        <v>45</v>
      </c>
      <c r="D33" s="175"/>
      <c r="E33" s="169" t="s">
        <v>46</v>
      </c>
      <c r="F33" s="170"/>
      <c r="G33" s="111"/>
      <c r="H33" s="112"/>
    </row>
    <row r="34" spans="2:8" ht="59.25" customHeight="1">
      <c r="B34" s="108"/>
      <c r="C34" s="174" t="s">
        <v>47</v>
      </c>
      <c r="D34" s="175"/>
      <c r="E34" s="169" t="s">
        <v>48</v>
      </c>
      <c r="F34" s="170"/>
      <c r="G34" s="111"/>
      <c r="H34" s="112"/>
    </row>
    <row r="35" spans="2:8" ht="29.25" customHeight="1">
      <c r="B35" s="108"/>
      <c r="C35" s="174" t="s">
        <v>49</v>
      </c>
      <c r="D35" s="175"/>
      <c r="E35" s="169" t="s">
        <v>50</v>
      </c>
      <c r="F35" s="170"/>
      <c r="G35" s="111"/>
      <c r="H35" s="112"/>
    </row>
    <row r="36" spans="2:8" ht="82.5" customHeight="1">
      <c r="B36" s="108"/>
      <c r="C36" s="174" t="s">
        <v>51</v>
      </c>
      <c r="D36" s="175"/>
      <c r="E36" s="169" t="s">
        <v>52</v>
      </c>
      <c r="F36" s="170"/>
      <c r="G36" s="111"/>
      <c r="H36" s="112"/>
    </row>
    <row r="37" spans="2:8" ht="46.5" customHeight="1">
      <c r="B37" s="108"/>
      <c r="C37" s="174" t="s">
        <v>53</v>
      </c>
      <c r="D37" s="175"/>
      <c r="E37" s="169" t="s">
        <v>54</v>
      </c>
      <c r="F37" s="170"/>
      <c r="G37" s="111"/>
      <c r="H37" s="112"/>
    </row>
    <row r="38" spans="2:8" ht="6.75" customHeight="1" thickBot="1">
      <c r="B38" s="108"/>
      <c r="C38" s="176"/>
      <c r="D38" s="177"/>
      <c r="E38" s="178"/>
      <c r="F38" s="179"/>
      <c r="G38" s="111"/>
      <c r="H38" s="112"/>
    </row>
    <row r="39" spans="2:8" ht="15.75" thickTop="1">
      <c r="B39" s="108"/>
      <c r="C39" s="109"/>
      <c r="D39" s="109"/>
      <c r="E39" s="110"/>
      <c r="F39" s="110"/>
      <c r="G39" s="111"/>
      <c r="H39" s="112"/>
    </row>
    <row r="40" spans="2:8" ht="21" customHeight="1">
      <c r="B40" s="171" t="s">
        <v>55</v>
      </c>
      <c r="C40" s="172"/>
      <c r="D40" s="172"/>
      <c r="E40" s="172"/>
      <c r="F40" s="172"/>
      <c r="G40" s="172"/>
      <c r="H40" s="173"/>
    </row>
    <row r="41" spans="2:8" ht="20.25" customHeight="1">
      <c r="B41" s="171" t="s">
        <v>56</v>
      </c>
      <c r="C41" s="172"/>
      <c r="D41" s="172"/>
      <c r="E41" s="172"/>
      <c r="F41" s="172"/>
      <c r="G41" s="172"/>
      <c r="H41" s="173"/>
    </row>
    <row r="42" spans="2:8" ht="20.25" customHeight="1">
      <c r="B42" s="171" t="s">
        <v>57</v>
      </c>
      <c r="C42" s="172"/>
      <c r="D42" s="172"/>
      <c r="E42" s="172"/>
      <c r="F42" s="172"/>
      <c r="G42" s="172"/>
      <c r="H42" s="173"/>
    </row>
    <row r="43" spans="2:8" ht="20.25" customHeight="1">
      <c r="B43" s="171" t="s">
        <v>58</v>
      </c>
      <c r="C43" s="172"/>
      <c r="D43" s="172"/>
      <c r="E43" s="172"/>
      <c r="F43" s="172"/>
      <c r="G43" s="172"/>
      <c r="H43" s="173"/>
    </row>
    <row r="44" spans="2:8">
      <c r="B44" s="171" t="s">
        <v>59</v>
      </c>
      <c r="C44" s="172"/>
      <c r="D44" s="172"/>
      <c r="E44" s="172"/>
      <c r="F44" s="172"/>
      <c r="G44" s="172"/>
      <c r="H44" s="173"/>
    </row>
    <row r="45" spans="2:8" ht="15.75" thickBot="1">
      <c r="B45" s="113"/>
      <c r="C45" s="114"/>
      <c r="D45" s="114"/>
      <c r="E45" s="114"/>
      <c r="F45" s="114"/>
      <c r="G45" s="114"/>
      <c r="H45" s="115"/>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topLeftCell="M14" zoomScale="90" zoomScaleNormal="90" workbookViewId="0">
      <selection activeCell="AH19" sqref="AH19"/>
    </sheetView>
  </sheetViews>
  <sheetFormatPr defaultColWidth="11.42578125" defaultRowHeight="16.5"/>
  <cols>
    <col min="1" max="1" width="4" style="2" bestFit="1" customWidth="1"/>
    <col min="2" max="2" width="14.140625" style="2" customWidth="1"/>
    <col min="3" max="4" width="27.7109375" style="2" customWidth="1"/>
    <col min="5" max="5" width="39.42578125" style="1" customWidth="1"/>
    <col min="6" max="6" width="23.42578125" style="5" customWidth="1"/>
    <col min="7" max="7" width="22.85546875" style="1" customWidth="1"/>
    <col min="8" max="8" width="18.710937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8" style="1" customWidth="1"/>
    <col min="17" max="17" width="15.140625" style="1" bestFit="1" customWidth="1"/>
    <col min="18" max="23" width="8.285156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c r="A1" s="228" t="s">
        <v>60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30"/>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4" customHeight="1">
      <c r="A2" s="231"/>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3"/>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26.25" customHeight="1">
      <c r="A4" s="213" t="s">
        <v>61</v>
      </c>
      <c r="B4" s="214"/>
      <c r="C4" s="224" t="s">
        <v>62</v>
      </c>
      <c r="D4" s="225"/>
      <c r="E4" s="225"/>
      <c r="F4" s="225"/>
      <c r="G4" s="225"/>
      <c r="H4" s="225"/>
      <c r="I4" s="225"/>
      <c r="J4" s="225"/>
      <c r="K4" s="225"/>
      <c r="L4" s="225"/>
      <c r="M4" s="225"/>
      <c r="N4" s="226"/>
      <c r="O4" s="227"/>
      <c r="P4" s="227"/>
      <c r="Q4" s="22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30" customHeight="1">
      <c r="A5" s="213" t="s">
        <v>63</v>
      </c>
      <c r="B5" s="214"/>
      <c r="C5" s="220" t="s">
        <v>64</v>
      </c>
      <c r="D5" s="221"/>
      <c r="E5" s="221"/>
      <c r="F5" s="221"/>
      <c r="G5" s="221"/>
      <c r="H5" s="221"/>
      <c r="I5" s="221"/>
      <c r="J5" s="221"/>
      <c r="K5" s="221"/>
      <c r="L5" s="221"/>
      <c r="M5" s="221"/>
      <c r="N5" s="222"/>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49.5" customHeight="1">
      <c r="A6" s="213" t="s">
        <v>65</v>
      </c>
      <c r="B6" s="214"/>
      <c r="C6" s="220" t="s">
        <v>66</v>
      </c>
      <c r="D6" s="221"/>
      <c r="E6" s="221"/>
      <c r="F6" s="221"/>
      <c r="G6" s="221"/>
      <c r="H6" s="221"/>
      <c r="I6" s="221"/>
      <c r="J6" s="221"/>
      <c r="K6" s="221"/>
      <c r="L6" s="221"/>
      <c r="M6" s="221"/>
      <c r="N6" s="222"/>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ht="26.25" customHeight="1">
      <c r="A7" s="234" t="s">
        <v>67</v>
      </c>
      <c r="B7" s="235"/>
      <c r="C7" s="235"/>
      <c r="D7" s="235"/>
      <c r="E7" s="235"/>
      <c r="F7" s="235"/>
      <c r="G7" s="236"/>
      <c r="H7" s="234" t="s">
        <v>68</v>
      </c>
      <c r="I7" s="235"/>
      <c r="J7" s="235"/>
      <c r="K7" s="235"/>
      <c r="L7" s="235"/>
      <c r="M7" s="235"/>
      <c r="N7" s="236"/>
      <c r="O7" s="234" t="s">
        <v>69</v>
      </c>
      <c r="P7" s="235"/>
      <c r="Q7" s="235"/>
      <c r="R7" s="235"/>
      <c r="S7" s="235"/>
      <c r="T7" s="235"/>
      <c r="U7" s="235"/>
      <c r="V7" s="235"/>
      <c r="W7" s="236"/>
      <c r="X7" s="234" t="s">
        <v>70</v>
      </c>
      <c r="Y7" s="235"/>
      <c r="Z7" s="235"/>
      <c r="AA7" s="235"/>
      <c r="AB7" s="235"/>
      <c r="AC7" s="235"/>
      <c r="AD7" s="236"/>
      <c r="AE7" s="234" t="s">
        <v>71</v>
      </c>
      <c r="AF7" s="235"/>
      <c r="AG7" s="235"/>
      <c r="AH7" s="235"/>
      <c r="AI7" s="235"/>
      <c r="AJ7" s="236"/>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ht="26.25" customHeight="1">
      <c r="A8" s="215" t="s">
        <v>72</v>
      </c>
      <c r="B8" s="211" t="s">
        <v>15</v>
      </c>
      <c r="C8" s="205" t="s">
        <v>17</v>
      </c>
      <c r="D8" s="205" t="s">
        <v>19</v>
      </c>
      <c r="E8" s="217" t="s">
        <v>21</v>
      </c>
      <c r="F8" s="212" t="s">
        <v>23</v>
      </c>
      <c r="G8" s="205" t="s">
        <v>73</v>
      </c>
      <c r="H8" s="207" t="s">
        <v>74</v>
      </c>
      <c r="I8" s="208" t="s">
        <v>75</v>
      </c>
      <c r="J8" s="212" t="s">
        <v>76</v>
      </c>
      <c r="K8" s="212" t="s">
        <v>77</v>
      </c>
      <c r="L8" s="210" t="s">
        <v>78</v>
      </c>
      <c r="M8" s="208" t="s">
        <v>75</v>
      </c>
      <c r="N8" s="205" t="s">
        <v>29</v>
      </c>
      <c r="O8" s="218" t="s">
        <v>79</v>
      </c>
      <c r="P8" s="206" t="s">
        <v>31</v>
      </c>
      <c r="Q8" s="212" t="s">
        <v>33</v>
      </c>
      <c r="R8" s="206" t="s">
        <v>80</v>
      </c>
      <c r="S8" s="206"/>
      <c r="T8" s="206"/>
      <c r="U8" s="206"/>
      <c r="V8" s="206"/>
      <c r="W8" s="206"/>
      <c r="X8" s="204" t="s">
        <v>81</v>
      </c>
      <c r="Y8" s="204" t="s">
        <v>82</v>
      </c>
      <c r="Z8" s="204" t="s">
        <v>75</v>
      </c>
      <c r="AA8" s="204" t="s">
        <v>83</v>
      </c>
      <c r="AB8" s="204" t="s">
        <v>75</v>
      </c>
      <c r="AC8" s="204" t="s">
        <v>84</v>
      </c>
      <c r="AD8" s="218" t="s">
        <v>49</v>
      </c>
      <c r="AE8" s="206" t="s">
        <v>71</v>
      </c>
      <c r="AF8" s="206" t="s">
        <v>85</v>
      </c>
      <c r="AG8" s="206" t="s">
        <v>86</v>
      </c>
      <c r="AH8" s="206" t="s">
        <v>87</v>
      </c>
      <c r="AI8" s="206" t="s">
        <v>88</v>
      </c>
      <c r="AJ8" s="206" t="s">
        <v>53</v>
      </c>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row>
    <row r="9" spans="1:68" s="4" customFormat="1" ht="94.5" customHeight="1">
      <c r="A9" s="216"/>
      <c r="B9" s="211"/>
      <c r="C9" s="206"/>
      <c r="D9" s="206"/>
      <c r="E9" s="211"/>
      <c r="F9" s="205"/>
      <c r="G9" s="206"/>
      <c r="H9" s="205"/>
      <c r="I9" s="209"/>
      <c r="J9" s="205"/>
      <c r="K9" s="205"/>
      <c r="L9" s="209"/>
      <c r="M9" s="209"/>
      <c r="N9" s="206"/>
      <c r="O9" s="219"/>
      <c r="P9" s="206"/>
      <c r="Q9" s="205"/>
      <c r="R9" s="137" t="s">
        <v>89</v>
      </c>
      <c r="S9" s="137" t="s">
        <v>90</v>
      </c>
      <c r="T9" s="137" t="s">
        <v>91</v>
      </c>
      <c r="U9" s="137" t="s">
        <v>92</v>
      </c>
      <c r="V9" s="137" t="s">
        <v>93</v>
      </c>
      <c r="W9" s="137" t="s">
        <v>94</v>
      </c>
      <c r="X9" s="204"/>
      <c r="Y9" s="204"/>
      <c r="Z9" s="204"/>
      <c r="AA9" s="204"/>
      <c r="AB9" s="204"/>
      <c r="AC9" s="204"/>
      <c r="AD9" s="219"/>
      <c r="AE9" s="206"/>
      <c r="AF9" s="206"/>
      <c r="AG9" s="206"/>
      <c r="AH9" s="206"/>
      <c r="AI9" s="206"/>
      <c r="AJ9" s="206"/>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row>
    <row r="10" spans="1:68" s="3" customFormat="1" ht="60" customHeight="1">
      <c r="A10" s="189">
        <v>1</v>
      </c>
      <c r="B10" s="180" t="s">
        <v>95</v>
      </c>
      <c r="C10" s="192" t="s">
        <v>96</v>
      </c>
      <c r="D10" s="192" t="s">
        <v>97</v>
      </c>
      <c r="E10" s="192" t="s">
        <v>98</v>
      </c>
      <c r="F10" s="180" t="s">
        <v>99</v>
      </c>
      <c r="G10" s="183">
        <f>40*54</f>
        <v>2160</v>
      </c>
      <c r="H10" s="186" t="str">
        <f>IF(G10&lt;=0,"",IF(G10&lt;=2,"Muy Baja",IF(G10&lt;=24,"Baja",IF(G10&lt;=500,"Media",IF(G10&lt;=5000,"Alta","Muy Alta")))))</f>
        <v>Alta</v>
      </c>
      <c r="I10" s="198">
        <f>IF(H10="","",IF(H10="Muy Baja",0.2,IF(H10="Baja",0.4,IF(H10="Media",0.6,IF(H10="Alta",0.8,IF(H10="Muy Alta",1,))))))</f>
        <v>0.8</v>
      </c>
      <c r="J10" s="201" t="s">
        <v>100</v>
      </c>
      <c r="K10" s="198"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86" t="str">
        <f>IF(OR(K10='Tabla Impacto'!$C$11,K10='Tabla Impacto'!$D$11),"Leve",IF(OR(K10='Tabla Impacto'!$C$12,K10='Tabla Impacto'!$D$12),"Menor",IF(OR(K10='Tabla Impacto'!$C$13,K10='Tabla Impacto'!$D$13),"Moderado",IF(OR(K10='Tabla Impacto'!$C$14,K10='Tabla Impacto'!$D$14),"Mayor",IF(OR(K10='Tabla Impacto'!$C$15,K10='Tabla Impacto'!$D$15),"Catastrófico","")))))</f>
        <v>Moderado</v>
      </c>
      <c r="M10" s="198">
        <f>IF(L10="","",IF(L10="Leve",0.2,IF(L10="Menor",0.4,IF(L10="Moderado",0.6,IF(L10="Mayor",0.8,IF(L10="Catastrófico",1,))))))</f>
        <v>0.6</v>
      </c>
      <c r="N10" s="19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22">
        <v>1</v>
      </c>
      <c r="P10" s="123" t="s">
        <v>101</v>
      </c>
      <c r="Q10" s="124" t="str">
        <f>IF(OR(R10="Preventivo",R10="Detectivo"),"Probabilidad",IF(R10="Correctivo","Impacto",""))</f>
        <v>Probabilidad</v>
      </c>
      <c r="R10" s="125" t="s">
        <v>102</v>
      </c>
      <c r="S10" s="125" t="s">
        <v>103</v>
      </c>
      <c r="T10" s="126" t="str">
        <f>IF(AND(R10="Preventivo",S10="Automático"),"50%",IF(AND(R10="Preventivo",S10="Manual"),"40%",IF(AND(R10="Detectivo",S10="Automático"),"40%",IF(AND(R10="Detectivo",S10="Manual"),"30%",IF(AND(R10="Correctivo",S10="Automático"),"35%",IF(AND(R10="Correctivo",S10="Manual"),"25%",""))))))</f>
        <v>40%</v>
      </c>
      <c r="U10" s="125" t="s">
        <v>104</v>
      </c>
      <c r="V10" s="125" t="s">
        <v>105</v>
      </c>
      <c r="W10" s="125" t="s">
        <v>106</v>
      </c>
      <c r="X10" s="127">
        <f>IFERROR(IF(Q10="Probabilidad",(I10-(+I10*T10)),IF(Q10="Impacto",I10,"")),"")</f>
        <v>0.48</v>
      </c>
      <c r="Y10" s="128" t="str">
        <f>IFERROR(IF(X10="","",IF(X10&lt;=0.2,"Muy Baja",IF(X10&lt;=0.4,"Baja",IF(X10&lt;=0.6,"Media",IF(X10&lt;=0.8,"Alta","Muy Alta"))))),"")</f>
        <v>Media</v>
      </c>
      <c r="Z10" s="129">
        <f>+X10</f>
        <v>0.48</v>
      </c>
      <c r="AA10" s="128" t="str">
        <f>IFERROR(IF(AB10="","",IF(AB10&lt;=0.2,"Leve",IF(AB10&lt;=0.4,"Menor",IF(AB10&lt;=0.6,"Moderado",IF(AB10&lt;=0.8,"Mayor","Catastrófico"))))),"")</f>
        <v>Moderado</v>
      </c>
      <c r="AB10" s="129">
        <f>IFERROR(IF(Q10="Impacto",(M10-(+M10*T10)),IF(Q10="Probabilidad",M10,"")),"")</f>
        <v>0.6</v>
      </c>
      <c r="AC10" s="130"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1" t="s">
        <v>107</v>
      </c>
      <c r="AE10" s="132" t="s">
        <v>108</v>
      </c>
      <c r="AF10" s="133" t="s">
        <v>109</v>
      </c>
      <c r="AG10" s="134">
        <v>45838</v>
      </c>
      <c r="AH10" s="134">
        <v>46021</v>
      </c>
      <c r="AI10" s="132" t="s">
        <v>110</v>
      </c>
      <c r="AJ10" s="133" t="s">
        <v>111</v>
      </c>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row>
    <row r="11" spans="1:68" ht="60" customHeight="1">
      <c r="A11" s="190"/>
      <c r="B11" s="181"/>
      <c r="C11" s="193"/>
      <c r="D11" s="193"/>
      <c r="E11" s="193"/>
      <c r="F11" s="181"/>
      <c r="G11" s="184"/>
      <c r="H11" s="187"/>
      <c r="I11" s="199"/>
      <c r="J11" s="202"/>
      <c r="K11" s="199">
        <f>IF(NOT(ISERROR(MATCH(J11,_xlfn.ANCHORARRAY(E22),0))),I24&amp;"Por favor no seleccionar los criterios de impacto",J11)</f>
        <v>0</v>
      </c>
      <c r="L11" s="187"/>
      <c r="M11" s="199"/>
      <c r="N11" s="196"/>
      <c r="O11" s="122">
        <v>2</v>
      </c>
      <c r="P11" s="123" t="s">
        <v>112</v>
      </c>
      <c r="Q11" s="124" t="str">
        <f>IF(OR(R11="Preventivo",R11="Detectivo"),"Probabilidad",IF(R11="Correctivo","Impacto",""))</f>
        <v>Probabilidad</v>
      </c>
      <c r="R11" s="125" t="s">
        <v>102</v>
      </c>
      <c r="S11" s="125" t="s">
        <v>103</v>
      </c>
      <c r="T11" s="126" t="str">
        <f t="shared" ref="T11:T15" si="0">IF(AND(R11="Preventivo",S11="Automático"),"50%",IF(AND(R11="Preventivo",S11="Manual"),"40%",IF(AND(R11="Detectivo",S11="Automático"),"40%",IF(AND(R11="Detectivo",S11="Manual"),"30%",IF(AND(R11="Correctivo",S11="Automático"),"35%",IF(AND(R11="Correctivo",S11="Manual"),"25%",""))))))</f>
        <v>40%</v>
      </c>
      <c r="U11" s="125" t="s">
        <v>104</v>
      </c>
      <c r="V11" s="125" t="s">
        <v>105</v>
      </c>
      <c r="W11" s="125" t="s">
        <v>106</v>
      </c>
      <c r="X11" s="127">
        <f>IFERROR(IF(AND(Q10="Probabilidad",Q11="Probabilidad"),(Z10-(+Z10*T11)),IF(Q11="Probabilidad",(I10-(+I10*T11)),IF(Q11="Impacto",Z10,""))),"")</f>
        <v>0.28799999999999998</v>
      </c>
      <c r="Y11" s="128" t="str">
        <f t="shared" ref="Y11:Y69" si="1">IFERROR(IF(X11="","",IF(X11&lt;=0.2,"Muy Baja",IF(X11&lt;=0.4,"Baja",IF(X11&lt;=0.6,"Media",IF(X11&lt;=0.8,"Alta","Muy Alta"))))),"")</f>
        <v>Baja</v>
      </c>
      <c r="Z11" s="129">
        <f t="shared" ref="Z11:Z15" si="2">+X11</f>
        <v>0.28799999999999998</v>
      </c>
      <c r="AA11" s="128" t="str">
        <f t="shared" ref="AA11:AA69" si="3">IFERROR(IF(AB11="","",IF(AB11&lt;=0.2,"Leve",IF(AB11&lt;=0.4,"Menor",IF(AB11&lt;=0.6,"Moderado",IF(AB11&lt;=0.8,"Mayor","Catastrófico"))))),"")</f>
        <v>Moderado</v>
      </c>
      <c r="AB11" s="129">
        <f>IFERROR(IF(AND(Q10="Impacto",Q11="Impacto"),(AB10-(+AB10*T11)),IF(Q11="Impacto",(M10-(+M10*T11)),IF(Q11="Probabilidad",AB10,""))),"")</f>
        <v>0.6</v>
      </c>
      <c r="AC11" s="130"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1" t="s">
        <v>107</v>
      </c>
      <c r="AE11" s="139" t="s">
        <v>113</v>
      </c>
      <c r="AF11" s="133" t="s">
        <v>109</v>
      </c>
      <c r="AG11" s="134">
        <v>45868</v>
      </c>
      <c r="AH11" s="134">
        <v>46052</v>
      </c>
      <c r="AI11" s="132" t="s">
        <v>110</v>
      </c>
      <c r="AJ11" s="133" t="s">
        <v>111</v>
      </c>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row>
    <row r="12" spans="1:68" ht="60" customHeight="1">
      <c r="A12" s="190"/>
      <c r="B12" s="181"/>
      <c r="C12" s="193"/>
      <c r="D12" s="193"/>
      <c r="E12" s="193"/>
      <c r="F12" s="181"/>
      <c r="G12" s="184"/>
      <c r="H12" s="187"/>
      <c r="I12" s="199"/>
      <c r="J12" s="202"/>
      <c r="K12" s="199">
        <f>IF(NOT(ISERROR(MATCH(J12,_xlfn.ANCHORARRAY(E23),0))),I25&amp;"Por favor no seleccionar los criterios de impacto",J12)</f>
        <v>0</v>
      </c>
      <c r="L12" s="187"/>
      <c r="M12" s="199"/>
      <c r="N12" s="196"/>
      <c r="O12" s="122">
        <v>3</v>
      </c>
      <c r="P12" s="135" t="s">
        <v>114</v>
      </c>
      <c r="Q12" s="124" t="str">
        <f>IF(OR(R12="Preventivo",R12="Detectivo"),"Probabilidad",IF(R12="Correctivo","Impacto",""))</f>
        <v>Probabilidad</v>
      </c>
      <c r="R12" s="125" t="s">
        <v>102</v>
      </c>
      <c r="S12" s="125" t="s">
        <v>103</v>
      </c>
      <c r="T12" s="126" t="str">
        <f t="shared" si="0"/>
        <v>40%</v>
      </c>
      <c r="U12" s="125" t="s">
        <v>104</v>
      </c>
      <c r="V12" s="125" t="s">
        <v>105</v>
      </c>
      <c r="W12" s="125" t="s">
        <v>106</v>
      </c>
      <c r="X12" s="127">
        <f>IFERROR(IF(AND(Q11="Probabilidad",Q12="Probabilidad"),(Z11-(+Z11*T12)),IF(AND(Q11="Impacto",Q12="Probabilidad"),(Z10-(+Z10*T12)),IF(Q12="Impacto",Z11,""))),"")</f>
        <v>0.17279999999999998</v>
      </c>
      <c r="Y12" s="128" t="str">
        <f t="shared" si="1"/>
        <v>Muy Baja</v>
      </c>
      <c r="Z12" s="129">
        <f t="shared" si="2"/>
        <v>0.17279999999999998</v>
      </c>
      <c r="AA12" s="128" t="str">
        <f t="shared" si="3"/>
        <v>Moderado</v>
      </c>
      <c r="AB12" s="129">
        <f>IFERROR(IF(AND(Q11="Impacto",Q12="Impacto"),(AB11-(+AB11*T12)),IF(AND(Q11="Probabilidad",Q12="Impacto"),(AB10-(+AB10*T12)),IF(Q12="Probabilidad",AB11,""))),"")</f>
        <v>0.6</v>
      </c>
      <c r="AC12" s="130" t="str">
        <f t="shared" si="4"/>
        <v>Moderado</v>
      </c>
      <c r="AD12" s="131" t="s">
        <v>107</v>
      </c>
      <c r="AE12" s="139" t="s">
        <v>115</v>
      </c>
      <c r="AF12" s="133" t="s">
        <v>109</v>
      </c>
      <c r="AG12" s="134">
        <v>45899</v>
      </c>
      <c r="AH12" s="134">
        <v>46264</v>
      </c>
      <c r="AI12" s="132" t="s">
        <v>116</v>
      </c>
      <c r="AJ12" s="133" t="s">
        <v>111</v>
      </c>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row>
    <row r="13" spans="1:68" ht="60" customHeight="1">
      <c r="A13" s="190"/>
      <c r="B13" s="181"/>
      <c r="C13" s="193"/>
      <c r="D13" s="193"/>
      <c r="E13" s="193"/>
      <c r="F13" s="181"/>
      <c r="G13" s="184"/>
      <c r="H13" s="187"/>
      <c r="I13" s="199"/>
      <c r="J13" s="202"/>
      <c r="K13" s="199">
        <f>IF(NOT(ISERROR(MATCH(J13,_xlfn.ANCHORARRAY(E24),0))),I26&amp;"Por favor no seleccionar los criterios de impacto",J13)</f>
        <v>0</v>
      </c>
      <c r="L13" s="187"/>
      <c r="M13" s="199"/>
      <c r="N13" s="196"/>
      <c r="O13" s="122">
        <v>4</v>
      </c>
      <c r="P13" s="123" t="s">
        <v>117</v>
      </c>
      <c r="Q13" s="124" t="str">
        <f t="shared" ref="Q13:Q15" si="5">IF(OR(R13="Preventivo",R13="Detectivo"),"Probabilidad",IF(R13="Correctivo","Impacto",""))</f>
        <v>Probabilidad</v>
      </c>
      <c r="R13" s="125" t="s">
        <v>102</v>
      </c>
      <c r="S13" s="125" t="s">
        <v>103</v>
      </c>
      <c r="T13" s="126" t="str">
        <f t="shared" si="0"/>
        <v>40%</v>
      </c>
      <c r="U13" s="125" t="s">
        <v>104</v>
      </c>
      <c r="V13" s="125" t="s">
        <v>105</v>
      </c>
      <c r="W13" s="125" t="s">
        <v>106</v>
      </c>
      <c r="X13" s="127">
        <f t="shared" ref="X13:X15" si="6">IFERROR(IF(AND(Q12="Probabilidad",Q13="Probabilidad"),(Z12-(+Z12*T13)),IF(AND(Q12="Impacto",Q13="Probabilidad"),(Z11-(+Z11*T13)),IF(Q13="Impacto",Z12,""))),"")</f>
        <v>0.10367999999999998</v>
      </c>
      <c r="Y13" s="128" t="str">
        <f t="shared" si="1"/>
        <v>Muy Baja</v>
      </c>
      <c r="Z13" s="129">
        <f t="shared" si="2"/>
        <v>0.10367999999999998</v>
      </c>
      <c r="AA13" s="128" t="str">
        <f t="shared" si="3"/>
        <v>Moderado</v>
      </c>
      <c r="AB13" s="129">
        <f t="shared" ref="AB13:AB15" si="7">IFERROR(IF(AND(Q12="Impacto",Q13="Impacto"),(AB12-(+AB12*T13)),IF(AND(Q12="Probabilidad",Q13="Impacto"),(AB11-(+AB11*T13)),IF(Q13="Probabilidad",AB12,""))),"")</f>
        <v>0.6</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31" t="s">
        <v>107</v>
      </c>
      <c r="AE13" s="132" t="s">
        <v>118</v>
      </c>
      <c r="AF13" s="133" t="s">
        <v>109</v>
      </c>
      <c r="AG13" s="134">
        <v>45960</v>
      </c>
      <c r="AH13" s="134" t="s">
        <v>119</v>
      </c>
      <c r="AI13" s="132" t="s">
        <v>116</v>
      </c>
      <c r="AJ13" s="133" t="s">
        <v>111</v>
      </c>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row>
    <row r="14" spans="1:68" ht="60" customHeight="1">
      <c r="A14" s="190"/>
      <c r="B14" s="181"/>
      <c r="C14" s="193"/>
      <c r="D14" s="193"/>
      <c r="E14" s="193"/>
      <c r="F14" s="181"/>
      <c r="G14" s="184"/>
      <c r="H14" s="187"/>
      <c r="I14" s="199"/>
      <c r="J14" s="202"/>
      <c r="K14" s="199">
        <f>IF(NOT(ISERROR(MATCH(J14,_xlfn.ANCHORARRAY(E25),0))),I27&amp;"Por favor no seleccionar los criterios de impacto",J14)</f>
        <v>0</v>
      </c>
      <c r="L14" s="187"/>
      <c r="M14" s="199"/>
      <c r="N14" s="196"/>
      <c r="O14" s="122">
        <v>5</v>
      </c>
      <c r="P14" s="123" t="s">
        <v>120</v>
      </c>
      <c r="Q14" s="124" t="str">
        <f t="shared" si="5"/>
        <v>Probabilidad</v>
      </c>
      <c r="R14" s="125" t="s">
        <v>102</v>
      </c>
      <c r="S14" s="125" t="s">
        <v>103</v>
      </c>
      <c r="T14" s="126" t="str">
        <f t="shared" si="0"/>
        <v>40%</v>
      </c>
      <c r="U14" s="125" t="s">
        <v>104</v>
      </c>
      <c r="V14" s="125" t="s">
        <v>105</v>
      </c>
      <c r="W14" s="125" t="s">
        <v>106</v>
      </c>
      <c r="X14" s="127">
        <f t="shared" si="6"/>
        <v>6.2207999999999986E-2</v>
      </c>
      <c r="Y14" s="128" t="str">
        <f t="shared" si="1"/>
        <v>Muy Baja</v>
      </c>
      <c r="Z14" s="129">
        <f t="shared" si="2"/>
        <v>6.2207999999999986E-2</v>
      </c>
      <c r="AA14" s="128" t="str">
        <f t="shared" si="3"/>
        <v>Moderado</v>
      </c>
      <c r="AB14" s="129">
        <f t="shared" si="7"/>
        <v>0.6</v>
      </c>
      <c r="AC14" s="130" t="str">
        <f t="shared" si="4"/>
        <v>Moderado</v>
      </c>
      <c r="AD14" s="131" t="s">
        <v>107</v>
      </c>
      <c r="AE14" s="139" t="s">
        <v>121</v>
      </c>
      <c r="AF14" s="140" t="s">
        <v>122</v>
      </c>
      <c r="AG14" s="134">
        <v>45899</v>
      </c>
      <c r="AH14" s="134">
        <v>46021</v>
      </c>
      <c r="AI14" s="132" t="s">
        <v>123</v>
      </c>
      <c r="AJ14" s="133" t="s">
        <v>111</v>
      </c>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1:68" ht="60" customHeight="1">
      <c r="A15" s="191"/>
      <c r="B15" s="182"/>
      <c r="C15" s="194"/>
      <c r="D15" s="194"/>
      <c r="E15" s="194"/>
      <c r="F15" s="182"/>
      <c r="G15" s="185"/>
      <c r="H15" s="188"/>
      <c r="I15" s="200"/>
      <c r="J15" s="203"/>
      <c r="K15" s="200">
        <f>IF(NOT(ISERROR(MATCH(J15,_xlfn.ANCHORARRAY(E26),0))),I28&amp;"Por favor no seleccionar los criterios de impacto",J15)</f>
        <v>0</v>
      </c>
      <c r="L15" s="188"/>
      <c r="M15" s="200"/>
      <c r="N15" s="197"/>
      <c r="O15" s="122">
        <v>6</v>
      </c>
      <c r="P15" s="123" t="s">
        <v>124</v>
      </c>
      <c r="Q15" s="124" t="str">
        <f t="shared" si="5"/>
        <v>Probabilidad</v>
      </c>
      <c r="R15" s="125" t="s">
        <v>102</v>
      </c>
      <c r="S15" s="125" t="s">
        <v>103</v>
      </c>
      <c r="T15" s="126" t="str">
        <f t="shared" si="0"/>
        <v>40%</v>
      </c>
      <c r="U15" s="138" t="s">
        <v>104</v>
      </c>
      <c r="V15" s="125" t="s">
        <v>105</v>
      </c>
      <c r="W15" s="125" t="s">
        <v>106</v>
      </c>
      <c r="X15" s="127">
        <f t="shared" si="6"/>
        <v>3.7324799999999991E-2</v>
      </c>
      <c r="Y15" s="128" t="str">
        <f t="shared" si="1"/>
        <v>Muy Baja</v>
      </c>
      <c r="Z15" s="129">
        <f t="shared" si="2"/>
        <v>3.7324799999999991E-2</v>
      </c>
      <c r="AA15" s="128" t="str">
        <f t="shared" si="3"/>
        <v>Moderado</v>
      </c>
      <c r="AB15" s="129">
        <f t="shared" si="7"/>
        <v>0.6</v>
      </c>
      <c r="AC15" s="130" t="str">
        <f t="shared" si="4"/>
        <v>Moderado</v>
      </c>
      <c r="AD15" s="131" t="s">
        <v>107</v>
      </c>
      <c r="AE15" s="139" t="s">
        <v>125</v>
      </c>
      <c r="AF15" s="133" t="s">
        <v>109</v>
      </c>
      <c r="AG15" s="134">
        <v>46022</v>
      </c>
      <c r="AH15" s="134">
        <v>46387</v>
      </c>
      <c r="AI15" s="132" t="s">
        <v>116</v>
      </c>
      <c r="AJ15" s="133" t="s">
        <v>111</v>
      </c>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ht="60" customHeight="1">
      <c r="A16" s="189">
        <v>2</v>
      </c>
      <c r="B16" s="180" t="s">
        <v>126</v>
      </c>
      <c r="C16" s="180" t="s">
        <v>127</v>
      </c>
      <c r="D16" s="192" t="s">
        <v>128</v>
      </c>
      <c r="E16" s="192" t="s">
        <v>129</v>
      </c>
      <c r="F16" s="180" t="s">
        <v>130</v>
      </c>
      <c r="G16" s="183">
        <f>24*365</f>
        <v>8760</v>
      </c>
      <c r="H16" s="186" t="str">
        <f>IF(G16&lt;=0,"",IF(G16&lt;=2,"Muy Baja",IF(G16&lt;=24,"Baja",IF(G16&lt;=500,"Media",IF(G16&lt;=5000,"Alta","Muy Alta")))))</f>
        <v>Muy Alta</v>
      </c>
      <c r="I16" s="198">
        <f>IF(H16="","",IF(H16="Muy Baja",0.2,IF(H16="Baja",0.4,IF(H16="Media",0.6,IF(H16="Alta",0.8,IF(H16="Muy Alta",1,))))))</f>
        <v>1</v>
      </c>
      <c r="J16" s="201" t="s">
        <v>131</v>
      </c>
      <c r="K16" s="198"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186" t="str">
        <f>IF(OR(K16='Tabla Impacto'!$C$11,K16='Tabla Impacto'!$D$11),"Leve",IF(OR(K16='Tabla Impacto'!$C$12,K16='Tabla Impacto'!$D$12),"Menor",IF(OR(K16='Tabla Impacto'!$C$13,K16='Tabla Impacto'!$D$13),"Moderado",IF(OR(K16='Tabla Impacto'!$C$14,K16='Tabla Impacto'!$D$14),"Mayor",IF(OR(K16='Tabla Impacto'!$C$15,K16='Tabla Impacto'!$D$15),"Catastrófico","")))))</f>
        <v>Mayor</v>
      </c>
      <c r="M16" s="198">
        <f>IF(L16="","",IF(L16="Leve",0.2,IF(L16="Menor",0.4,IF(L16="Moderado",0.6,IF(L16="Mayor",0.8,IF(L16="Catastrófico",1,))))))</f>
        <v>0.8</v>
      </c>
      <c r="N16" s="19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22">
        <v>1</v>
      </c>
      <c r="P16" s="123" t="s">
        <v>132</v>
      </c>
      <c r="Q16" s="124" t="str">
        <f>IF(OR(R16="Preventivo",R16="Detectivo"),"Probabilidad",IF(R16="Correctivo","Impacto",""))</f>
        <v>Probabilidad</v>
      </c>
      <c r="R16" s="125" t="s">
        <v>102</v>
      </c>
      <c r="S16" s="125" t="s">
        <v>133</v>
      </c>
      <c r="T16" s="126" t="str">
        <f>IF(AND(R16="Preventivo",S16="Automático"),"50%",IF(AND(R16="Preventivo",S16="Manual"),"40%",IF(AND(R16="Detectivo",S16="Automático"),"40%",IF(AND(R16="Detectivo",S16="Manual"),"30%",IF(AND(R16="Correctivo",S16="Automático"),"35%",IF(AND(R16="Correctivo",S16="Manual"),"25%",""))))))</f>
        <v>50%</v>
      </c>
      <c r="U16" s="125" t="s">
        <v>104</v>
      </c>
      <c r="V16" s="125" t="s">
        <v>105</v>
      </c>
      <c r="W16" s="125" t="s">
        <v>106</v>
      </c>
      <c r="X16" s="127">
        <f>IFERROR(IF(Q16="Probabilidad",(I16-(+I16*T16)),IF(Q16="Impacto",I16,"")),"")</f>
        <v>0.5</v>
      </c>
      <c r="Y16" s="128" t="str">
        <f>IFERROR(IF(X16="","",IF(X16&lt;=0.2,"Muy Baja",IF(X16&lt;=0.4,"Baja",IF(X16&lt;=0.6,"Media",IF(X16&lt;=0.8,"Alta","Muy Alta"))))),"")</f>
        <v>Media</v>
      </c>
      <c r="Z16" s="129">
        <f>+X16</f>
        <v>0.5</v>
      </c>
      <c r="AA16" s="128" t="str">
        <f>IFERROR(IF(AB16="","",IF(AB16&lt;=0.2,"Leve",IF(AB16&lt;=0.4,"Menor",IF(AB16&lt;=0.6,"Moderado",IF(AB16&lt;=0.8,"Mayor","Catastrófico"))))),"")</f>
        <v>Mayor</v>
      </c>
      <c r="AB16" s="129">
        <f>IFERROR(IF(Q16="Impacto",(M16-(+M16*T16)),IF(Q16="Probabilidad",M16,"")),"")</f>
        <v>0.8</v>
      </c>
      <c r="AC16" s="130"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1" t="s">
        <v>107</v>
      </c>
      <c r="AE16" s="139" t="s">
        <v>134</v>
      </c>
      <c r="AF16" s="133" t="s">
        <v>109</v>
      </c>
      <c r="AG16" s="134">
        <v>45869</v>
      </c>
      <c r="AH16" s="134">
        <v>46234</v>
      </c>
      <c r="AI16" s="132" t="s">
        <v>116</v>
      </c>
      <c r="AJ16" s="133" t="s">
        <v>111</v>
      </c>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row>
    <row r="17" spans="1:68" ht="60" customHeight="1">
      <c r="A17" s="190"/>
      <c r="B17" s="181"/>
      <c r="C17" s="181"/>
      <c r="D17" s="193"/>
      <c r="E17" s="193"/>
      <c r="F17" s="181"/>
      <c r="G17" s="184"/>
      <c r="H17" s="187"/>
      <c r="I17" s="199"/>
      <c r="J17" s="202"/>
      <c r="K17" s="199">
        <f>IF(NOT(ISERROR(MATCH(J17,_xlfn.ANCHORARRAY(E28),0))),I30&amp;"Por favor no seleccionar los criterios de impacto",J17)</f>
        <v>0</v>
      </c>
      <c r="L17" s="187"/>
      <c r="M17" s="199"/>
      <c r="N17" s="196"/>
      <c r="O17" s="122">
        <v>2</v>
      </c>
      <c r="P17" s="123" t="s">
        <v>135</v>
      </c>
      <c r="Q17" s="124" t="str">
        <f>IF(OR(R17="Preventivo",R17="Detectivo"),"Probabilidad",IF(R17="Correctivo","Impacto",""))</f>
        <v>Probabilidad</v>
      </c>
      <c r="R17" s="125" t="s">
        <v>102</v>
      </c>
      <c r="S17" s="125" t="s">
        <v>133</v>
      </c>
      <c r="T17" s="126" t="str">
        <f t="shared" ref="T17:T21" si="8">IF(AND(R17="Preventivo",S17="Automático"),"50%",IF(AND(R17="Preventivo",S17="Manual"),"40%",IF(AND(R17="Detectivo",S17="Automático"),"40%",IF(AND(R17="Detectivo",S17="Manual"),"30%",IF(AND(R17="Correctivo",S17="Automático"),"35%",IF(AND(R17="Correctivo",S17="Manual"),"25%",""))))))</f>
        <v>50%</v>
      </c>
      <c r="U17" s="125" t="s">
        <v>104</v>
      </c>
      <c r="V17" s="125" t="s">
        <v>105</v>
      </c>
      <c r="W17" s="125" t="s">
        <v>106</v>
      </c>
      <c r="X17" s="127">
        <f>IFERROR(IF(AND(Q16="Probabilidad",Q17="Probabilidad"),(Z16-(+Z16*T17)),IF(Q17="Probabilidad",(I16-(+I16*T17)),IF(Q17="Impacto",Z16,""))),"")</f>
        <v>0.25</v>
      </c>
      <c r="Y17" s="128" t="str">
        <f t="shared" si="1"/>
        <v>Baja</v>
      </c>
      <c r="Z17" s="129">
        <f t="shared" ref="Z17:Z21" si="9">+X17</f>
        <v>0.25</v>
      </c>
      <c r="AA17" s="128" t="str">
        <f t="shared" si="3"/>
        <v>Mayor</v>
      </c>
      <c r="AB17" s="129">
        <f>IFERROR(IF(AND(Q16="Impacto",Q17="Impacto"),(AB16-(+AB16*T17)),IF(Q17="Impacto",(M16-(+M16*T17)),IF(Q17="Probabilidad",AB16,""))),"")</f>
        <v>0.8</v>
      </c>
      <c r="AC17" s="130"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31" t="s">
        <v>107</v>
      </c>
      <c r="AE17" s="139" t="s">
        <v>136</v>
      </c>
      <c r="AF17" s="133" t="s">
        <v>109</v>
      </c>
      <c r="AG17" s="134">
        <v>45869</v>
      </c>
      <c r="AH17" s="134">
        <v>46234</v>
      </c>
      <c r="AI17" s="132" t="s">
        <v>116</v>
      </c>
      <c r="AJ17" s="133" t="s">
        <v>111</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row>
    <row r="18" spans="1:68" ht="60" customHeight="1">
      <c r="A18" s="190"/>
      <c r="B18" s="181"/>
      <c r="C18" s="181"/>
      <c r="D18" s="193"/>
      <c r="E18" s="193"/>
      <c r="F18" s="181"/>
      <c r="G18" s="184"/>
      <c r="H18" s="187"/>
      <c r="I18" s="199"/>
      <c r="J18" s="202"/>
      <c r="K18" s="199">
        <f>IF(NOT(ISERROR(MATCH(J18,_xlfn.ANCHORARRAY(E29),0))),I31&amp;"Por favor no seleccionar los criterios de impacto",J18)</f>
        <v>0</v>
      </c>
      <c r="L18" s="187"/>
      <c r="M18" s="199"/>
      <c r="N18" s="196"/>
      <c r="O18" s="122">
        <v>3</v>
      </c>
      <c r="P18" s="123" t="s">
        <v>137</v>
      </c>
      <c r="Q18" s="124" t="str">
        <f>IF(OR(R18="Preventivo",R18="Detectivo"),"Probabilidad",IF(R18="Correctivo","Impacto",""))</f>
        <v>Probabilidad</v>
      </c>
      <c r="R18" s="125" t="s">
        <v>102</v>
      </c>
      <c r="S18" s="125" t="s">
        <v>103</v>
      </c>
      <c r="T18" s="126" t="str">
        <f t="shared" si="8"/>
        <v>40%</v>
      </c>
      <c r="U18" s="125" t="s">
        <v>104</v>
      </c>
      <c r="V18" s="125" t="s">
        <v>105</v>
      </c>
      <c r="W18" s="125" t="s">
        <v>106</v>
      </c>
      <c r="X18" s="127">
        <f>IFERROR(IF(AND(Q17="Probabilidad",Q18="Probabilidad"),(Z17-(+Z17*T18)),IF(AND(Q17="Impacto",Q18="Probabilidad"),(Z16-(+Z16*T18)),IF(Q18="Impacto",Z17,""))),"")</f>
        <v>0.15</v>
      </c>
      <c r="Y18" s="128" t="str">
        <f t="shared" si="1"/>
        <v>Muy Baja</v>
      </c>
      <c r="Z18" s="129">
        <f t="shared" si="9"/>
        <v>0.15</v>
      </c>
      <c r="AA18" s="128" t="str">
        <f t="shared" si="3"/>
        <v>Mayor</v>
      </c>
      <c r="AB18" s="129">
        <f>IFERROR(IF(AND(Q17="Impacto",Q18="Impacto"),(AB17-(+AB17*T18)),IF(AND(Q17="Probabilidad",Q18="Impacto"),(AB16-(+AB16*T18)),IF(Q18="Probabilidad",AB17,""))),"")</f>
        <v>0.8</v>
      </c>
      <c r="AC18" s="130" t="str">
        <f t="shared" si="10"/>
        <v>Alto</v>
      </c>
      <c r="AD18" s="131" t="s">
        <v>107</v>
      </c>
      <c r="AE18" s="139" t="s">
        <v>138</v>
      </c>
      <c r="AF18" s="133" t="s">
        <v>109</v>
      </c>
      <c r="AG18" s="134">
        <v>46052</v>
      </c>
      <c r="AH18" s="134">
        <v>46233</v>
      </c>
      <c r="AI18" s="132" t="s">
        <v>110</v>
      </c>
      <c r="AJ18" s="133" t="s">
        <v>111</v>
      </c>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row>
    <row r="19" spans="1:68" ht="60" customHeight="1">
      <c r="A19" s="190"/>
      <c r="B19" s="181"/>
      <c r="C19" s="181"/>
      <c r="D19" s="193"/>
      <c r="E19" s="193"/>
      <c r="F19" s="181"/>
      <c r="G19" s="184"/>
      <c r="H19" s="187"/>
      <c r="I19" s="199"/>
      <c r="J19" s="202"/>
      <c r="K19" s="199">
        <f>IF(NOT(ISERROR(MATCH(J19,_xlfn.ANCHORARRAY(E30),0))),I32&amp;"Por favor no seleccionar los criterios de impacto",J19)</f>
        <v>0</v>
      </c>
      <c r="L19" s="187"/>
      <c r="M19" s="199"/>
      <c r="N19" s="196"/>
      <c r="O19" s="122">
        <v>4</v>
      </c>
      <c r="P19" s="123"/>
      <c r="Q19" s="124" t="str">
        <f t="shared" ref="Q19:Q21" si="11">IF(OR(R19="Preventivo",R19="Detectivo"),"Probabilidad",IF(R19="Correctivo","Impacto",""))</f>
        <v/>
      </c>
      <c r="R19" s="125"/>
      <c r="S19" s="125"/>
      <c r="T19" s="126" t="str">
        <f t="shared" si="8"/>
        <v/>
      </c>
      <c r="U19" s="125"/>
      <c r="V19" s="125"/>
      <c r="W19" s="125"/>
      <c r="X19" s="127" t="str">
        <f t="shared" ref="X19:X21" si="12">IFERROR(IF(AND(Q18="Probabilidad",Q19="Probabilidad"),(Z18-(+Z18*T19)),IF(AND(Q18="Impacto",Q19="Probabilidad"),(Z17-(+Z17*T19)),IF(Q19="Impacto",Z18,""))),"")</f>
        <v/>
      </c>
      <c r="Y19" s="128" t="str">
        <f t="shared" si="1"/>
        <v/>
      </c>
      <c r="Z19" s="129" t="str">
        <f t="shared" si="9"/>
        <v/>
      </c>
      <c r="AA19" s="128" t="str">
        <f t="shared" si="3"/>
        <v/>
      </c>
      <c r="AB19" s="129" t="str">
        <f t="shared" ref="AB19:AB21" si="13">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t="s">
        <v>107</v>
      </c>
      <c r="AE19" s="132"/>
      <c r="AF19" s="133"/>
      <c r="AG19" s="134"/>
      <c r="AH19" s="134"/>
      <c r="AI19" s="132"/>
      <c r="AJ19" s="133"/>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ht="60" customHeight="1">
      <c r="A20" s="190"/>
      <c r="B20" s="181"/>
      <c r="C20" s="181"/>
      <c r="D20" s="193"/>
      <c r="E20" s="193"/>
      <c r="F20" s="181"/>
      <c r="G20" s="184"/>
      <c r="H20" s="187"/>
      <c r="I20" s="199"/>
      <c r="J20" s="202"/>
      <c r="K20" s="199">
        <f>IF(NOT(ISERROR(MATCH(J20,_xlfn.ANCHORARRAY(E31),0))),I33&amp;"Por favor no seleccionar los criterios de impacto",J20)</f>
        <v>0</v>
      </c>
      <c r="L20" s="187"/>
      <c r="M20" s="199"/>
      <c r="N20" s="196"/>
      <c r="O20" s="122">
        <v>5</v>
      </c>
      <c r="P20" s="123"/>
      <c r="Q20" s="124" t="str">
        <f t="shared" si="11"/>
        <v/>
      </c>
      <c r="R20" s="125"/>
      <c r="S20" s="125"/>
      <c r="T20" s="126" t="str">
        <f t="shared" si="8"/>
        <v/>
      </c>
      <c r="U20" s="125"/>
      <c r="V20" s="125"/>
      <c r="W20" s="125"/>
      <c r="X20" s="127" t="str">
        <f t="shared" si="12"/>
        <v/>
      </c>
      <c r="Y20" s="128" t="str">
        <f t="shared" si="1"/>
        <v/>
      </c>
      <c r="Z20" s="129" t="str">
        <f t="shared" si="9"/>
        <v/>
      </c>
      <c r="AA20" s="128" t="str">
        <f t="shared" si="3"/>
        <v/>
      </c>
      <c r="AB20" s="129" t="str">
        <f t="shared" si="13"/>
        <v/>
      </c>
      <c r="AC20" s="130"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t="s">
        <v>107</v>
      </c>
      <c r="AE20" s="132"/>
      <c r="AF20" s="133"/>
      <c r="AG20" s="134"/>
      <c r="AH20" s="134"/>
      <c r="AI20" s="132"/>
      <c r="AJ20" s="133"/>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row>
    <row r="21" spans="1:68" ht="60" customHeight="1">
      <c r="A21" s="191"/>
      <c r="B21" s="182"/>
      <c r="C21" s="182"/>
      <c r="D21" s="194"/>
      <c r="E21" s="194"/>
      <c r="F21" s="182"/>
      <c r="G21" s="185"/>
      <c r="H21" s="188"/>
      <c r="I21" s="200"/>
      <c r="J21" s="203"/>
      <c r="K21" s="200">
        <f>IF(NOT(ISERROR(MATCH(J21,_xlfn.ANCHORARRAY(E32),0))),I34&amp;"Por favor no seleccionar los criterios de impacto",J21)</f>
        <v>0</v>
      </c>
      <c r="L21" s="188"/>
      <c r="M21" s="200"/>
      <c r="N21" s="197"/>
      <c r="O21" s="122">
        <v>6</v>
      </c>
      <c r="P21" s="123"/>
      <c r="Q21" s="124" t="str">
        <f t="shared" si="11"/>
        <v/>
      </c>
      <c r="R21" s="125"/>
      <c r="S21" s="125"/>
      <c r="T21" s="126" t="str">
        <f t="shared" si="8"/>
        <v/>
      </c>
      <c r="U21" s="125"/>
      <c r="V21" s="125"/>
      <c r="W21" s="125"/>
      <c r="X21" s="127" t="str">
        <f t="shared" si="12"/>
        <v/>
      </c>
      <c r="Y21" s="128" t="str">
        <f t="shared" si="1"/>
        <v/>
      </c>
      <c r="Z21" s="129" t="str">
        <f t="shared" si="9"/>
        <v/>
      </c>
      <c r="AA21" s="128" t="str">
        <f t="shared" si="3"/>
        <v/>
      </c>
      <c r="AB21" s="129" t="str">
        <f t="shared" si="13"/>
        <v/>
      </c>
      <c r="AC21" s="130" t="str">
        <f t="shared" si="14"/>
        <v/>
      </c>
      <c r="AD21" s="131" t="s">
        <v>107</v>
      </c>
      <c r="AE21" s="132"/>
      <c r="AF21" s="133"/>
      <c r="AG21" s="134"/>
      <c r="AH21" s="134"/>
      <c r="AI21" s="132"/>
      <c r="AJ21" s="133"/>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row>
    <row r="22" spans="1:68" ht="60" customHeight="1">
      <c r="A22" s="189">
        <v>3</v>
      </c>
      <c r="B22" s="180" t="s">
        <v>95</v>
      </c>
      <c r="C22" s="180" t="s">
        <v>139</v>
      </c>
      <c r="D22" s="192" t="s">
        <v>140</v>
      </c>
      <c r="E22" s="192" t="s">
        <v>141</v>
      </c>
      <c r="F22" s="180" t="s">
        <v>142</v>
      </c>
      <c r="G22" s="183">
        <f>24*365</f>
        <v>8760</v>
      </c>
      <c r="H22" s="186" t="str">
        <f>IF(G22&lt;=0,"",IF(G22&lt;=2,"Muy Baja",IF(G22&lt;=24,"Baja",IF(G22&lt;=500,"Media",IF(G22&lt;=5000,"Alta","Muy Alta")))))</f>
        <v>Muy Alta</v>
      </c>
      <c r="I22" s="198">
        <f>IF(H22="","",IF(H22="Muy Baja",0.2,IF(H22="Baja",0.4,IF(H22="Media",0.6,IF(H22="Alta",0.8,IF(H22="Muy Alta",1,))))))</f>
        <v>1</v>
      </c>
      <c r="J22" s="201" t="s">
        <v>131</v>
      </c>
      <c r="K22" s="198" t="str">
        <f>IF(NOT(ISERROR(MATCH(J22,'Tabla Impacto'!$B$221:$B$223,0))),'Tabla Impacto'!$F$223&amp;"Por favor no seleccionar los criterios de impacto(Afectación Económica o presupuestal y Pérdida Reputacional)",J22)</f>
        <v xml:space="preserve">     El riesgo afecta la imagen de de la entidad con efecto publicitario sostenido a nivel de sector administrativo, nivel departamental o municipal</v>
      </c>
      <c r="L22" s="186" t="str">
        <f>IF(OR(K22='Tabla Impacto'!$C$11,K22='Tabla Impacto'!$D$11),"Leve",IF(OR(K22='Tabla Impacto'!$C$12,K22='Tabla Impacto'!$D$12),"Menor",IF(OR(K22='Tabla Impacto'!$C$13,K22='Tabla Impacto'!$D$13),"Moderado",IF(OR(K22='Tabla Impacto'!$C$14,K22='Tabla Impacto'!$D$14),"Mayor",IF(OR(K22='Tabla Impacto'!$C$15,K22='Tabla Impacto'!$D$15),"Catastrófico","")))))</f>
        <v>Mayor</v>
      </c>
      <c r="M22" s="198">
        <f>IF(L22="","",IF(L22="Leve",0.2,IF(L22="Menor",0.4,IF(L22="Moderado",0.6,IF(L22="Mayor",0.8,IF(L22="Catastrófico",1,))))))</f>
        <v>0.8</v>
      </c>
      <c r="N22" s="19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122">
        <v>1</v>
      </c>
      <c r="P22" s="123" t="s">
        <v>143</v>
      </c>
      <c r="Q22" s="124" t="str">
        <f>IF(OR(R22="Preventivo",R22="Detectivo"),"Probabilidad",IF(R22="Correctivo","Impacto",""))</f>
        <v>Probabilidad</v>
      </c>
      <c r="R22" s="125" t="s">
        <v>102</v>
      </c>
      <c r="S22" s="125" t="s">
        <v>103</v>
      </c>
      <c r="T22" s="126" t="str">
        <f>IF(AND(R22="Preventivo",S22="Automático"),"50%",IF(AND(R22="Preventivo",S22="Manual"),"40%",IF(AND(R22="Detectivo",S22="Automático"),"40%",IF(AND(R22="Detectivo",S22="Manual"),"30%",IF(AND(R22="Correctivo",S22="Automático"),"35%",IF(AND(R22="Correctivo",S22="Manual"),"25%",""))))))</f>
        <v>40%</v>
      </c>
      <c r="U22" s="125" t="s">
        <v>104</v>
      </c>
      <c r="V22" s="125" t="s">
        <v>105</v>
      </c>
      <c r="W22" s="125" t="s">
        <v>106</v>
      </c>
      <c r="X22" s="127">
        <f>IFERROR(IF(Q22="Probabilidad",(I22-(+I22*T22)),IF(Q22="Impacto",I22,"")),"")</f>
        <v>0.6</v>
      </c>
      <c r="Y22" s="128" t="str">
        <f>IFERROR(IF(X22="","",IF(X22&lt;=0.2,"Muy Baja",IF(X22&lt;=0.4,"Baja",IF(X22&lt;=0.6,"Media",IF(X22&lt;=0.8,"Alta","Muy Alta"))))),"")</f>
        <v>Media</v>
      </c>
      <c r="Z22" s="129">
        <f>+X22</f>
        <v>0.6</v>
      </c>
      <c r="AA22" s="128" t="str">
        <f>IFERROR(IF(AB22="","",IF(AB22&lt;=0.2,"Leve",IF(AB22&lt;=0.4,"Menor",IF(AB22&lt;=0.6,"Moderado",IF(AB22&lt;=0.8,"Mayor","Catastrófico"))))),"")</f>
        <v>Mayor</v>
      </c>
      <c r="AB22" s="129">
        <f>IFERROR(IF(Q22="Impacto",(M22-(+M22*T22)),IF(Q22="Probabilidad",M22,"")),"")</f>
        <v>0.8</v>
      </c>
      <c r="AC22" s="130"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131" t="s">
        <v>107</v>
      </c>
      <c r="AE22" s="139" t="s">
        <v>144</v>
      </c>
      <c r="AF22" s="133" t="s">
        <v>109</v>
      </c>
      <c r="AG22" s="134">
        <v>46052</v>
      </c>
      <c r="AH22" s="134">
        <v>46417</v>
      </c>
      <c r="AI22" s="132" t="s">
        <v>116</v>
      </c>
      <c r="AJ22" s="133" t="s">
        <v>111</v>
      </c>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row>
    <row r="23" spans="1:68" ht="60" customHeight="1">
      <c r="A23" s="190"/>
      <c r="B23" s="181"/>
      <c r="C23" s="181"/>
      <c r="D23" s="193"/>
      <c r="E23" s="193"/>
      <c r="F23" s="181"/>
      <c r="G23" s="184"/>
      <c r="H23" s="187"/>
      <c r="I23" s="199"/>
      <c r="J23" s="202"/>
      <c r="K23" s="199">
        <f t="shared" ref="K23:K27" si="15">IF(NOT(ISERROR(MATCH(J23,_xlfn.ANCHORARRAY(E34),0))),I36&amp;"Por favor no seleccionar los criterios de impacto",J23)</f>
        <v>0</v>
      </c>
      <c r="L23" s="187"/>
      <c r="M23" s="199"/>
      <c r="N23" s="196"/>
      <c r="O23" s="122">
        <v>2</v>
      </c>
      <c r="P23" s="123" t="s">
        <v>145</v>
      </c>
      <c r="Q23" s="124" t="str">
        <f>IF(OR(R23="Preventivo",R23="Detectivo"),"Probabilidad",IF(R23="Correctivo","Impacto",""))</f>
        <v>Probabilidad</v>
      </c>
      <c r="R23" s="125" t="s">
        <v>102</v>
      </c>
      <c r="S23" s="125" t="s">
        <v>103</v>
      </c>
      <c r="T23" s="126" t="str">
        <f t="shared" ref="T23:T27" si="16">IF(AND(R23="Preventivo",S23="Automático"),"50%",IF(AND(R23="Preventivo",S23="Manual"),"40%",IF(AND(R23="Detectivo",S23="Automático"),"40%",IF(AND(R23="Detectivo",S23="Manual"),"30%",IF(AND(R23="Correctivo",S23="Automático"),"35%",IF(AND(R23="Correctivo",S23="Manual"),"25%",""))))))</f>
        <v>40%</v>
      </c>
      <c r="U23" s="125" t="s">
        <v>104</v>
      </c>
      <c r="V23" s="125" t="s">
        <v>105</v>
      </c>
      <c r="W23" s="125" t="s">
        <v>106</v>
      </c>
      <c r="X23" s="136">
        <f>IFERROR(IF(AND(Q22="Probabilidad",Q23="Probabilidad"),(Z22-(+Z22*T23)),IF(Q23="Probabilidad",(I22-(+I22*T23)),IF(Q23="Impacto",Z22,""))),"")</f>
        <v>0.36</v>
      </c>
      <c r="Y23" s="128" t="str">
        <f t="shared" si="1"/>
        <v>Baja</v>
      </c>
      <c r="Z23" s="129">
        <f t="shared" ref="Z23:Z27" si="17">+X23</f>
        <v>0.36</v>
      </c>
      <c r="AA23" s="128" t="str">
        <f t="shared" si="3"/>
        <v>Mayor</v>
      </c>
      <c r="AB23" s="129">
        <f>IFERROR(IF(AND(Q22="Impacto",Q23="Impacto"),(AB22-(+AB22*T23)),IF(Q23="Impacto",(M22-(+M22*T23)),IF(Q23="Probabilidad",AB22,""))),"")</f>
        <v>0.8</v>
      </c>
      <c r="AC23" s="130"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Alto</v>
      </c>
      <c r="AD23" s="131" t="s">
        <v>107</v>
      </c>
      <c r="AE23" s="139" t="s">
        <v>146</v>
      </c>
      <c r="AF23" s="133" t="s">
        <v>109</v>
      </c>
      <c r="AG23" s="134">
        <v>45869</v>
      </c>
      <c r="AH23" s="134">
        <v>46234</v>
      </c>
      <c r="AI23" s="132" t="s">
        <v>116</v>
      </c>
      <c r="AJ23" s="133" t="s">
        <v>111</v>
      </c>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row>
    <row r="24" spans="1:68" ht="60" customHeight="1">
      <c r="A24" s="190"/>
      <c r="B24" s="181"/>
      <c r="C24" s="181"/>
      <c r="D24" s="193"/>
      <c r="E24" s="193"/>
      <c r="F24" s="181"/>
      <c r="G24" s="184"/>
      <c r="H24" s="187"/>
      <c r="I24" s="199"/>
      <c r="J24" s="202"/>
      <c r="K24" s="199">
        <f t="shared" si="15"/>
        <v>0</v>
      </c>
      <c r="L24" s="187"/>
      <c r="M24" s="199"/>
      <c r="N24" s="196"/>
      <c r="O24" s="122">
        <v>3</v>
      </c>
      <c r="P24" s="135" t="s">
        <v>147</v>
      </c>
      <c r="Q24" s="124" t="str">
        <f>IF(OR(R24="Preventivo",R24="Detectivo"),"Probabilidad",IF(R24="Correctivo","Impacto",""))</f>
        <v>Probabilidad</v>
      </c>
      <c r="R24" s="125" t="s">
        <v>102</v>
      </c>
      <c r="S24" s="125" t="s">
        <v>103</v>
      </c>
      <c r="T24" s="126" t="str">
        <f t="shared" si="16"/>
        <v>40%</v>
      </c>
      <c r="U24" s="125" t="s">
        <v>104</v>
      </c>
      <c r="V24" s="125" t="s">
        <v>105</v>
      </c>
      <c r="W24" s="125" t="s">
        <v>106</v>
      </c>
      <c r="X24" s="127">
        <f>IFERROR(IF(AND(Q23="Probabilidad",Q24="Probabilidad"),(Z23-(+Z23*T24)),IF(AND(Q23="Impacto",Q24="Probabilidad"),(Z22-(+Z22*T24)),IF(Q24="Impacto",Z23,""))),"")</f>
        <v>0.216</v>
      </c>
      <c r="Y24" s="128" t="str">
        <f t="shared" si="1"/>
        <v>Baja</v>
      </c>
      <c r="Z24" s="129">
        <f t="shared" si="17"/>
        <v>0.216</v>
      </c>
      <c r="AA24" s="128" t="str">
        <f t="shared" si="3"/>
        <v>Mayor</v>
      </c>
      <c r="AB24" s="129">
        <f>IFERROR(IF(AND(Q23="Impacto",Q24="Impacto"),(AB23-(+AB23*T24)),IF(AND(Q23="Probabilidad",Q24="Impacto"),(AB22-(+AB22*T24)),IF(Q24="Probabilidad",AB23,""))),"")</f>
        <v>0.8</v>
      </c>
      <c r="AC24" s="130" t="str">
        <f t="shared" si="18"/>
        <v>Alto</v>
      </c>
      <c r="AD24" s="131" t="s">
        <v>107</v>
      </c>
      <c r="AE24" s="132" t="s">
        <v>148</v>
      </c>
      <c r="AF24" s="133" t="s">
        <v>109</v>
      </c>
      <c r="AG24" s="134">
        <v>46022</v>
      </c>
      <c r="AH24" s="134">
        <v>46234</v>
      </c>
      <c r="AI24" s="132" t="s">
        <v>116</v>
      </c>
      <c r="AJ24" s="133" t="s">
        <v>111</v>
      </c>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row>
    <row r="25" spans="1:68" ht="60" customHeight="1">
      <c r="A25" s="190"/>
      <c r="B25" s="181"/>
      <c r="C25" s="181"/>
      <c r="D25" s="193"/>
      <c r="E25" s="193"/>
      <c r="F25" s="181"/>
      <c r="G25" s="184"/>
      <c r="H25" s="187"/>
      <c r="I25" s="199"/>
      <c r="J25" s="202"/>
      <c r="K25" s="199">
        <f t="shared" si="15"/>
        <v>0</v>
      </c>
      <c r="L25" s="187"/>
      <c r="M25" s="199"/>
      <c r="N25" s="196"/>
      <c r="O25" s="122">
        <v>4</v>
      </c>
      <c r="P25" s="123"/>
      <c r="Q25" s="124" t="str">
        <f t="shared" ref="Q25:Q27" si="19">IF(OR(R25="Preventivo",R25="Detectivo"),"Probabilidad",IF(R25="Correctivo","Impacto",""))</f>
        <v/>
      </c>
      <c r="R25" s="125"/>
      <c r="S25" s="125"/>
      <c r="T25" s="126" t="str">
        <f t="shared" si="16"/>
        <v/>
      </c>
      <c r="U25" s="125"/>
      <c r="V25" s="125"/>
      <c r="W25" s="125"/>
      <c r="X25" s="127" t="str">
        <f t="shared" ref="X25:X27" si="20">IFERROR(IF(AND(Q24="Probabilidad",Q25="Probabilidad"),(Z24-(+Z24*T25)),IF(AND(Q24="Impacto",Q25="Probabilidad"),(Z23-(+Z23*T25)),IF(Q25="Impacto",Z24,""))),"")</f>
        <v/>
      </c>
      <c r="Y25" s="128" t="str">
        <f t="shared" si="1"/>
        <v/>
      </c>
      <c r="Z25" s="129" t="str">
        <f t="shared" si="17"/>
        <v/>
      </c>
      <c r="AA25" s="128" t="str">
        <f t="shared" si="3"/>
        <v/>
      </c>
      <c r="AB25" s="129" t="str">
        <f t="shared" ref="AB25:AB27" si="21">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t="s">
        <v>107</v>
      </c>
      <c r="AE25" s="132"/>
      <c r="AF25" s="133"/>
      <c r="AG25" s="134"/>
      <c r="AH25" s="134"/>
      <c r="AI25" s="132"/>
      <c r="AJ25" s="133"/>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row>
    <row r="26" spans="1:68" ht="60" customHeight="1">
      <c r="A26" s="190"/>
      <c r="B26" s="181"/>
      <c r="C26" s="181"/>
      <c r="D26" s="193"/>
      <c r="E26" s="193"/>
      <c r="F26" s="181"/>
      <c r="G26" s="184"/>
      <c r="H26" s="187"/>
      <c r="I26" s="199"/>
      <c r="J26" s="202"/>
      <c r="K26" s="199">
        <f t="shared" si="15"/>
        <v>0</v>
      </c>
      <c r="L26" s="187"/>
      <c r="M26" s="199"/>
      <c r="N26" s="196"/>
      <c r="O26" s="122">
        <v>5</v>
      </c>
      <c r="P26" s="123"/>
      <c r="Q26" s="124" t="str">
        <f t="shared" si="19"/>
        <v/>
      </c>
      <c r="R26" s="125"/>
      <c r="S26" s="125"/>
      <c r="T26" s="126" t="str">
        <f t="shared" si="16"/>
        <v/>
      </c>
      <c r="U26" s="125"/>
      <c r="V26" s="125"/>
      <c r="W26" s="125"/>
      <c r="X26" s="127" t="str">
        <f t="shared" si="20"/>
        <v/>
      </c>
      <c r="Y26" s="128" t="str">
        <f t="shared" si="1"/>
        <v/>
      </c>
      <c r="Z26" s="129" t="str">
        <f t="shared" si="17"/>
        <v/>
      </c>
      <c r="AA26" s="128" t="str">
        <f t="shared" si="3"/>
        <v/>
      </c>
      <c r="AB26" s="129" t="str">
        <f t="shared" si="21"/>
        <v/>
      </c>
      <c r="AC26" s="130"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t="s">
        <v>107</v>
      </c>
      <c r="AE26" s="132"/>
      <c r="AF26" s="133"/>
      <c r="AG26" s="134"/>
      <c r="AH26" s="134"/>
      <c r="AI26" s="132"/>
      <c r="AJ26" s="133"/>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row>
    <row r="27" spans="1:68" ht="60" customHeight="1">
      <c r="A27" s="191"/>
      <c r="B27" s="182"/>
      <c r="C27" s="182"/>
      <c r="D27" s="194"/>
      <c r="E27" s="194"/>
      <c r="F27" s="182"/>
      <c r="G27" s="185"/>
      <c r="H27" s="188"/>
      <c r="I27" s="200"/>
      <c r="J27" s="203"/>
      <c r="K27" s="200">
        <f t="shared" si="15"/>
        <v>0</v>
      </c>
      <c r="L27" s="188"/>
      <c r="M27" s="200"/>
      <c r="N27" s="197"/>
      <c r="O27" s="122">
        <v>6</v>
      </c>
      <c r="P27" s="123"/>
      <c r="Q27" s="124" t="str">
        <f t="shared" si="19"/>
        <v/>
      </c>
      <c r="R27" s="125"/>
      <c r="S27" s="125"/>
      <c r="T27" s="126" t="str">
        <f t="shared" si="16"/>
        <v/>
      </c>
      <c r="U27" s="125"/>
      <c r="V27" s="125"/>
      <c r="W27" s="125"/>
      <c r="X27" s="127" t="str">
        <f t="shared" si="20"/>
        <v/>
      </c>
      <c r="Y27" s="128" t="str">
        <f t="shared" si="1"/>
        <v/>
      </c>
      <c r="Z27" s="129" t="str">
        <f t="shared" si="17"/>
        <v/>
      </c>
      <c r="AA27" s="128" t="str">
        <f t="shared" si="3"/>
        <v/>
      </c>
      <c r="AB27" s="129" t="str">
        <f t="shared" si="21"/>
        <v/>
      </c>
      <c r="AC27" s="130" t="str">
        <f t="shared" si="22"/>
        <v/>
      </c>
      <c r="AD27" s="131" t="s">
        <v>107</v>
      </c>
      <c r="AE27" s="132"/>
      <c r="AF27" s="133"/>
      <c r="AG27" s="134"/>
      <c r="AH27" s="134"/>
      <c r="AI27" s="132"/>
      <c r="AJ27" s="133"/>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ht="60" customHeight="1">
      <c r="A28" s="189">
        <v>4</v>
      </c>
      <c r="B28" s="180" t="s">
        <v>95</v>
      </c>
      <c r="C28" s="180" t="s">
        <v>139</v>
      </c>
      <c r="D28" s="223" t="s">
        <v>149</v>
      </c>
      <c r="E28" s="192" t="s">
        <v>150</v>
      </c>
      <c r="F28" s="180" t="s">
        <v>130</v>
      </c>
      <c r="G28" s="183">
        <f>24*365</f>
        <v>8760</v>
      </c>
      <c r="H28" s="186" t="str">
        <f>IF(G28&lt;=0,"",IF(G28&lt;=2,"Muy Baja",IF(G28&lt;=24,"Baja",IF(G28&lt;=500,"Media",IF(G28&lt;=5000,"Alta","Muy Alta")))))</f>
        <v>Muy Alta</v>
      </c>
      <c r="I28" s="198">
        <f>IF(H28="","",IF(H28="Muy Baja",0.2,IF(H28="Baja",0.4,IF(H28="Media",0.6,IF(H28="Alta",0.8,IF(H28="Muy Alta",1,))))))</f>
        <v>1</v>
      </c>
      <c r="J28" s="201" t="s">
        <v>131</v>
      </c>
      <c r="K28" s="198" t="str">
        <f>IF(NOT(ISERROR(MATCH(J28,'Tabla Impacto'!$B$221:$B$223,0))),'Tabla Impacto'!$F$223&amp;"Por favor no seleccionar los criterios de impacto(Afectación Económica o presupuestal y Pérdida Reputacional)",J28)</f>
        <v xml:space="preserve">     El riesgo afecta la imagen de de la entidad con efecto publicitario sostenido a nivel de sector administrativo, nivel departamental o municipal</v>
      </c>
      <c r="L28" s="186" t="str">
        <f>IF(OR(K28='Tabla Impacto'!$C$11,K28='Tabla Impacto'!$D$11),"Leve",IF(OR(K28='Tabla Impacto'!$C$12,K28='Tabla Impacto'!$D$12),"Menor",IF(OR(K28='Tabla Impacto'!$C$13,K28='Tabla Impacto'!$D$13),"Moderado",IF(OR(K28='Tabla Impacto'!$C$14,K28='Tabla Impacto'!$D$14),"Mayor",IF(OR(K28='Tabla Impacto'!$C$15,K28='Tabla Impacto'!$D$15),"Catastrófico","")))))</f>
        <v>Mayor</v>
      </c>
      <c r="M28" s="198">
        <f>IF(L28="","",IF(L28="Leve",0.2,IF(L28="Menor",0.4,IF(L28="Moderado",0.6,IF(L28="Mayor",0.8,IF(L28="Catastrófico",1,))))))</f>
        <v>0.8</v>
      </c>
      <c r="N28" s="19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122">
        <v>1</v>
      </c>
      <c r="P28" s="123" t="s">
        <v>151</v>
      </c>
      <c r="Q28" s="124" t="str">
        <f>IF(OR(R28="Preventivo",R28="Detectivo"),"Probabilidad",IF(R28="Correctivo","Impacto",""))</f>
        <v>Probabilidad</v>
      </c>
      <c r="R28" s="125" t="s">
        <v>102</v>
      </c>
      <c r="S28" s="125" t="s">
        <v>103</v>
      </c>
      <c r="T28" s="126" t="str">
        <f>IF(AND(R28="Preventivo",S28="Automático"),"50%",IF(AND(R28="Preventivo",S28="Manual"),"40%",IF(AND(R28="Detectivo",S28="Automático"),"40%",IF(AND(R28="Detectivo",S28="Manual"),"30%",IF(AND(R28="Correctivo",S28="Automático"),"35%",IF(AND(R28="Correctivo",S28="Manual"),"25%",""))))))</f>
        <v>40%</v>
      </c>
      <c r="U28" s="125" t="s">
        <v>104</v>
      </c>
      <c r="V28" s="125" t="s">
        <v>105</v>
      </c>
      <c r="W28" s="125" t="s">
        <v>106</v>
      </c>
      <c r="X28" s="127">
        <f>IFERROR(IF(Q28="Probabilidad",(I28-(+I28*T28)),IF(Q28="Impacto",I28,"")),"")</f>
        <v>0.6</v>
      </c>
      <c r="Y28" s="128" t="str">
        <f>IFERROR(IF(X28="","",IF(X28&lt;=0.2,"Muy Baja",IF(X28&lt;=0.4,"Baja",IF(X28&lt;=0.6,"Media",IF(X28&lt;=0.8,"Alta","Muy Alta"))))),"")</f>
        <v>Media</v>
      </c>
      <c r="Z28" s="129">
        <f>+X28</f>
        <v>0.6</v>
      </c>
      <c r="AA28" s="128" t="str">
        <f>IFERROR(IF(AB28="","",IF(AB28&lt;=0.2,"Leve",IF(AB28&lt;=0.4,"Menor",IF(AB28&lt;=0.6,"Moderado",IF(AB28&lt;=0.8,"Mayor","Catastrófico"))))),"")</f>
        <v>Mayor</v>
      </c>
      <c r="AB28" s="129">
        <f>IFERROR(IF(Q28="Impacto",(M28-(+M28*T28)),IF(Q28="Probabilidad",M28,"")),"")</f>
        <v>0.8</v>
      </c>
      <c r="AC28" s="130"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Alto</v>
      </c>
      <c r="AD28" s="131" t="s">
        <v>107</v>
      </c>
      <c r="AE28" s="132" t="s">
        <v>152</v>
      </c>
      <c r="AF28" s="133" t="s">
        <v>109</v>
      </c>
      <c r="AG28" s="134">
        <v>46022</v>
      </c>
      <c r="AH28" s="134">
        <v>46387</v>
      </c>
      <c r="AI28" s="132" t="s">
        <v>116</v>
      </c>
      <c r="AJ28" s="133" t="s">
        <v>111</v>
      </c>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ht="60" customHeight="1">
      <c r="A29" s="190"/>
      <c r="B29" s="181"/>
      <c r="C29" s="181"/>
      <c r="D29" s="193"/>
      <c r="E29" s="193"/>
      <c r="F29" s="181"/>
      <c r="G29" s="184"/>
      <c r="H29" s="187"/>
      <c r="I29" s="199"/>
      <c r="J29" s="202"/>
      <c r="K29" s="199">
        <f t="shared" ref="K29:K33" si="23">IF(NOT(ISERROR(MATCH(J29,_xlfn.ANCHORARRAY(E40),0))),I42&amp;"Por favor no seleccionar los criterios de impacto",J29)</f>
        <v>0</v>
      </c>
      <c r="L29" s="187"/>
      <c r="M29" s="199"/>
      <c r="N29" s="196"/>
      <c r="O29" s="122">
        <v>2</v>
      </c>
      <c r="P29" s="123" t="s">
        <v>153</v>
      </c>
      <c r="Q29" s="124" t="str">
        <f>IF(OR(R29="Preventivo",R29="Detectivo"),"Probabilidad",IF(R29="Correctivo","Impacto",""))</f>
        <v>Probabilidad</v>
      </c>
      <c r="R29" s="125" t="s">
        <v>102</v>
      </c>
      <c r="S29" s="125" t="s">
        <v>103</v>
      </c>
      <c r="T29" s="126" t="str">
        <f t="shared" ref="T29:T33" si="24">IF(AND(R29="Preventivo",S29="Automático"),"50%",IF(AND(R29="Preventivo",S29="Manual"),"40%",IF(AND(R29="Detectivo",S29="Automático"),"40%",IF(AND(R29="Detectivo",S29="Manual"),"30%",IF(AND(R29="Correctivo",S29="Automático"),"35%",IF(AND(R29="Correctivo",S29="Manual"),"25%",""))))))</f>
        <v>40%</v>
      </c>
      <c r="U29" s="125" t="s">
        <v>104</v>
      </c>
      <c r="V29" s="125" t="s">
        <v>105</v>
      </c>
      <c r="W29" s="125" t="s">
        <v>106</v>
      </c>
      <c r="X29" s="127">
        <f>IFERROR(IF(AND(Q28="Probabilidad",Q29="Probabilidad"),(Z28-(+Z28*T29)),IF(Q29="Probabilidad",(I28-(+I28*T29)),IF(Q29="Impacto",Z28,""))),"")</f>
        <v>0.36</v>
      </c>
      <c r="Y29" s="128" t="str">
        <f t="shared" si="1"/>
        <v>Baja</v>
      </c>
      <c r="Z29" s="129">
        <f t="shared" ref="Z29:Z33" si="25">+X29</f>
        <v>0.36</v>
      </c>
      <c r="AA29" s="128" t="str">
        <f t="shared" si="3"/>
        <v>Mayor</v>
      </c>
      <c r="AB29" s="129">
        <f>IFERROR(IF(AND(Q28="Impacto",Q29="Impacto"),(AB28-(+AB28*T29)),IF(Q29="Impacto",(M28-(+M28*T29)),IF(Q29="Probabilidad",AB28,""))),"")</f>
        <v>0.8</v>
      </c>
      <c r="AC29" s="130"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Alto</v>
      </c>
      <c r="AD29" s="131" t="s">
        <v>107</v>
      </c>
      <c r="AE29" s="139" t="s">
        <v>154</v>
      </c>
      <c r="AF29" s="133" t="s">
        <v>109</v>
      </c>
      <c r="AG29" s="134">
        <v>46022</v>
      </c>
      <c r="AH29" s="134">
        <v>46387</v>
      </c>
      <c r="AI29" s="132" t="s">
        <v>116</v>
      </c>
      <c r="AJ29" s="133" t="s">
        <v>111</v>
      </c>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ht="60" customHeight="1">
      <c r="A30" s="190"/>
      <c r="B30" s="181"/>
      <c r="C30" s="181"/>
      <c r="D30" s="193"/>
      <c r="E30" s="193"/>
      <c r="F30" s="181"/>
      <c r="G30" s="184"/>
      <c r="H30" s="187"/>
      <c r="I30" s="199"/>
      <c r="J30" s="202"/>
      <c r="K30" s="199">
        <f t="shared" si="23"/>
        <v>0</v>
      </c>
      <c r="L30" s="187"/>
      <c r="M30" s="199"/>
      <c r="N30" s="196"/>
      <c r="O30" s="122">
        <v>3</v>
      </c>
      <c r="P30" s="135" t="s">
        <v>155</v>
      </c>
      <c r="Q30" s="124" t="str">
        <f>IF(OR(R30="Preventivo",R30="Detectivo"),"Probabilidad",IF(R30="Correctivo","Impacto",""))</f>
        <v>Probabilidad</v>
      </c>
      <c r="R30" s="125" t="s">
        <v>102</v>
      </c>
      <c r="S30" s="125" t="s">
        <v>103</v>
      </c>
      <c r="T30" s="126" t="str">
        <f t="shared" si="24"/>
        <v>40%</v>
      </c>
      <c r="U30" s="125" t="s">
        <v>104</v>
      </c>
      <c r="V30" s="125" t="s">
        <v>105</v>
      </c>
      <c r="W30" s="125" t="s">
        <v>106</v>
      </c>
      <c r="X30" s="127">
        <f>IFERROR(IF(AND(Q29="Probabilidad",Q30="Probabilidad"),(Z29-(+Z29*T30)),IF(AND(Q29="Impacto",Q30="Probabilidad"),(Z28-(+Z28*T30)),IF(Q30="Impacto",Z29,""))),"")</f>
        <v>0.216</v>
      </c>
      <c r="Y30" s="128" t="str">
        <f t="shared" si="1"/>
        <v>Baja</v>
      </c>
      <c r="Z30" s="129">
        <f t="shared" si="25"/>
        <v>0.216</v>
      </c>
      <c r="AA30" s="128" t="str">
        <f t="shared" si="3"/>
        <v>Mayor</v>
      </c>
      <c r="AB30" s="129">
        <f>IFERROR(IF(AND(Q29="Impacto",Q30="Impacto"),(AB29-(+AB29*T30)),IF(AND(Q29="Probabilidad",Q30="Impacto"),(AB28-(+AB28*T30)),IF(Q30="Probabilidad",AB29,""))),"")</f>
        <v>0.8</v>
      </c>
      <c r="AC30" s="130" t="str">
        <f t="shared" si="26"/>
        <v>Alto</v>
      </c>
      <c r="AD30" s="131" t="s">
        <v>107</v>
      </c>
      <c r="AE30" s="139" t="s">
        <v>156</v>
      </c>
      <c r="AF30" s="140" t="s">
        <v>122</v>
      </c>
      <c r="AG30" s="134">
        <v>45899</v>
      </c>
      <c r="AH30" s="134">
        <v>46021</v>
      </c>
      <c r="AI30" s="132" t="s">
        <v>123</v>
      </c>
      <c r="AJ30" s="133" t="s">
        <v>111</v>
      </c>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ht="60" customHeight="1">
      <c r="A31" s="190"/>
      <c r="B31" s="181"/>
      <c r="C31" s="181"/>
      <c r="D31" s="193"/>
      <c r="E31" s="193"/>
      <c r="F31" s="181"/>
      <c r="G31" s="184"/>
      <c r="H31" s="187"/>
      <c r="I31" s="199"/>
      <c r="J31" s="202"/>
      <c r="K31" s="199">
        <f t="shared" si="23"/>
        <v>0</v>
      </c>
      <c r="L31" s="187"/>
      <c r="M31" s="199"/>
      <c r="N31" s="196"/>
      <c r="O31" s="122">
        <v>4</v>
      </c>
      <c r="P31" s="135" t="s">
        <v>157</v>
      </c>
      <c r="Q31" s="124" t="str">
        <f t="shared" ref="Q31:Q33" si="27">IF(OR(R31="Preventivo",R31="Detectivo"),"Probabilidad",IF(R31="Correctivo","Impacto",""))</f>
        <v>Probabilidad</v>
      </c>
      <c r="R31" s="125" t="s">
        <v>102</v>
      </c>
      <c r="S31" s="125" t="s">
        <v>103</v>
      </c>
      <c r="T31" s="126" t="str">
        <f t="shared" si="24"/>
        <v>40%</v>
      </c>
      <c r="U31" s="125" t="s">
        <v>104</v>
      </c>
      <c r="V31" s="125" t="s">
        <v>105</v>
      </c>
      <c r="W31" s="125" t="s">
        <v>106</v>
      </c>
      <c r="X31" s="127">
        <f t="shared" ref="X31:X33" si="28">IFERROR(IF(AND(Q30="Probabilidad",Q31="Probabilidad"),(Z30-(+Z30*T31)),IF(AND(Q30="Impacto",Q31="Probabilidad"),(Z29-(+Z29*T31)),IF(Q31="Impacto",Z30,""))),"")</f>
        <v>0.12959999999999999</v>
      </c>
      <c r="Y31" s="128" t="str">
        <f t="shared" si="1"/>
        <v>Muy Baja</v>
      </c>
      <c r="Z31" s="129">
        <f t="shared" si="25"/>
        <v>0.12959999999999999</v>
      </c>
      <c r="AA31" s="128" t="str">
        <f t="shared" si="3"/>
        <v>Mayor</v>
      </c>
      <c r="AB31" s="129">
        <f t="shared" ref="AB31:AB33" si="29">IFERROR(IF(AND(Q30="Impacto",Q31="Impacto"),(AB30-(+AB30*T31)),IF(AND(Q30="Probabilidad",Q31="Impacto"),(AB29-(+AB29*T31)),IF(Q31="Probabilidad",AB30,""))),"")</f>
        <v>0.8</v>
      </c>
      <c r="AC31" s="13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Alto</v>
      </c>
      <c r="AD31" s="131" t="s">
        <v>107</v>
      </c>
      <c r="AE31" s="139" t="s">
        <v>158</v>
      </c>
      <c r="AF31" s="133" t="s">
        <v>109</v>
      </c>
      <c r="AG31" s="134">
        <v>45869</v>
      </c>
      <c r="AH31" s="134">
        <v>46234</v>
      </c>
      <c r="AI31" s="132" t="s">
        <v>116</v>
      </c>
      <c r="AJ31" s="133" t="s">
        <v>111</v>
      </c>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68" ht="60" customHeight="1">
      <c r="A32" s="190"/>
      <c r="B32" s="181"/>
      <c r="C32" s="181"/>
      <c r="D32" s="193"/>
      <c r="E32" s="193"/>
      <c r="F32" s="181"/>
      <c r="G32" s="184"/>
      <c r="H32" s="187"/>
      <c r="I32" s="199"/>
      <c r="J32" s="202"/>
      <c r="K32" s="199">
        <f t="shared" si="23"/>
        <v>0</v>
      </c>
      <c r="L32" s="187"/>
      <c r="M32" s="199"/>
      <c r="N32" s="196"/>
      <c r="O32" s="122">
        <v>5</v>
      </c>
      <c r="P32" s="123" t="s">
        <v>159</v>
      </c>
      <c r="Q32" s="124" t="str">
        <f t="shared" si="27"/>
        <v>Probabilidad</v>
      </c>
      <c r="R32" s="125" t="s">
        <v>102</v>
      </c>
      <c r="S32" s="125" t="s">
        <v>103</v>
      </c>
      <c r="T32" s="126" t="str">
        <f t="shared" si="24"/>
        <v>40%</v>
      </c>
      <c r="U32" s="125" t="s">
        <v>104</v>
      </c>
      <c r="V32" s="125" t="s">
        <v>105</v>
      </c>
      <c r="W32" s="125" t="s">
        <v>106</v>
      </c>
      <c r="X32" s="136">
        <f t="shared" si="28"/>
        <v>7.7759999999999996E-2</v>
      </c>
      <c r="Y32" s="128" t="str">
        <f>IFERROR(IF(X32="","",IF(X32&lt;=0.2,"Muy Baja",IF(X32&lt;=0.4,"Baja",IF(X32&lt;=0.6,"Media",IF(X32&lt;=0.8,"Alta","Muy Alta"))))),"")</f>
        <v>Muy Baja</v>
      </c>
      <c r="Z32" s="129">
        <f t="shared" si="25"/>
        <v>7.7759999999999996E-2</v>
      </c>
      <c r="AA32" s="128" t="str">
        <f t="shared" si="3"/>
        <v>Mayor</v>
      </c>
      <c r="AB32" s="129">
        <f t="shared" si="29"/>
        <v>0.8</v>
      </c>
      <c r="AC32" s="130"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Alto</v>
      </c>
      <c r="AD32" s="131" t="s">
        <v>107</v>
      </c>
      <c r="AE32" s="132" t="s">
        <v>160</v>
      </c>
      <c r="AF32" s="140" t="s">
        <v>122</v>
      </c>
      <c r="AG32" s="134">
        <v>45899</v>
      </c>
      <c r="AH32" s="134">
        <v>46021</v>
      </c>
      <c r="AI32" s="132" t="s">
        <v>123</v>
      </c>
      <c r="AJ32" s="133" t="s">
        <v>111</v>
      </c>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row>
    <row r="33" spans="1:68" ht="80.25" customHeight="1">
      <c r="A33" s="191"/>
      <c r="B33" s="182"/>
      <c r="C33" s="182"/>
      <c r="D33" s="194"/>
      <c r="E33" s="194"/>
      <c r="F33" s="182"/>
      <c r="G33" s="185"/>
      <c r="H33" s="188"/>
      <c r="I33" s="200"/>
      <c r="J33" s="203"/>
      <c r="K33" s="200">
        <f t="shared" si="23"/>
        <v>0</v>
      </c>
      <c r="L33" s="188"/>
      <c r="M33" s="200"/>
      <c r="N33" s="197"/>
      <c r="O33" s="122">
        <v>6</v>
      </c>
      <c r="P33" s="123" t="s">
        <v>161</v>
      </c>
      <c r="Q33" s="124" t="str">
        <f t="shared" si="27"/>
        <v>Probabilidad</v>
      </c>
      <c r="R33" s="125" t="s">
        <v>102</v>
      </c>
      <c r="S33" s="125" t="s">
        <v>103</v>
      </c>
      <c r="T33" s="126" t="str">
        <f t="shared" si="24"/>
        <v>40%</v>
      </c>
      <c r="U33" s="125" t="s">
        <v>104</v>
      </c>
      <c r="V33" s="125" t="s">
        <v>105</v>
      </c>
      <c r="W33" s="125" t="s">
        <v>106</v>
      </c>
      <c r="X33" s="127">
        <f t="shared" si="28"/>
        <v>4.6655999999999996E-2</v>
      </c>
      <c r="Y33" s="128" t="str">
        <f t="shared" si="1"/>
        <v>Muy Baja</v>
      </c>
      <c r="Z33" s="129">
        <f t="shared" si="25"/>
        <v>4.6655999999999996E-2</v>
      </c>
      <c r="AA33" s="128" t="str">
        <f t="shared" si="3"/>
        <v>Mayor</v>
      </c>
      <c r="AB33" s="129">
        <f t="shared" si="29"/>
        <v>0.8</v>
      </c>
      <c r="AC33" s="130" t="str">
        <f t="shared" si="30"/>
        <v>Alto</v>
      </c>
      <c r="AD33" s="131" t="s">
        <v>107</v>
      </c>
      <c r="AE33" s="132" t="s">
        <v>162</v>
      </c>
      <c r="AF33" s="389" t="s">
        <v>122</v>
      </c>
      <c r="AG33" s="390">
        <v>45899</v>
      </c>
      <c r="AH33" s="390">
        <v>46021</v>
      </c>
      <c r="AI33" s="391" t="s">
        <v>123</v>
      </c>
      <c r="AJ33" s="392" t="s">
        <v>111</v>
      </c>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row>
    <row r="34" spans="1:68" ht="60" customHeight="1">
      <c r="A34" s="189">
        <v>5</v>
      </c>
      <c r="B34" s="180"/>
      <c r="C34" s="180"/>
      <c r="D34" s="180"/>
      <c r="E34" s="192"/>
      <c r="F34" s="180"/>
      <c r="G34" s="183"/>
      <c r="H34" s="186" t="str">
        <f>IF(G34&lt;=0,"",IF(G34&lt;=2,"Muy Baja",IF(G34&lt;=24,"Baja",IF(G34&lt;=500,"Media",IF(G34&lt;=5000,"Alta","Muy Alta")))))</f>
        <v/>
      </c>
      <c r="I34" s="198" t="str">
        <f>IF(H34="","",IF(H34="Muy Baja",0.2,IF(H34="Baja",0.4,IF(H34="Media",0.6,IF(H34="Alta",0.8,IF(H34="Muy Alta",1,))))))</f>
        <v/>
      </c>
      <c r="J34" s="201"/>
      <c r="K34" s="198">
        <f>IF(NOT(ISERROR(MATCH(J34,'Tabla Impacto'!$B$221:$B$223,0))),'Tabla Impacto'!$F$223&amp;"Por favor no seleccionar los criterios de impacto(Afectación Económica o presupuestal y Pérdida Reputacional)",J34)</f>
        <v>0</v>
      </c>
      <c r="L34" s="186" t="str">
        <f>IF(OR(K34='Tabla Impacto'!$C$11,K34='Tabla Impacto'!$D$11),"Leve",IF(OR(K34='Tabla Impacto'!$C$12,K34='Tabla Impacto'!$D$12),"Menor",IF(OR(K34='Tabla Impacto'!$C$13,K34='Tabla Impacto'!$D$13),"Moderado",IF(OR(K34='Tabla Impacto'!$C$14,K34='Tabla Impacto'!$D$14),"Mayor",IF(OR(K34='Tabla Impacto'!$C$15,K34='Tabla Impacto'!$D$15),"Catastrófico","")))))</f>
        <v/>
      </c>
      <c r="M34" s="198" t="str">
        <f>IF(L34="","",IF(L34="Leve",0.2,IF(L34="Menor",0.4,IF(L34="Moderado",0.6,IF(L34="Mayor",0.8,IF(L34="Catastrófico",1,))))))</f>
        <v/>
      </c>
      <c r="N34" s="19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2">
        <v>1</v>
      </c>
      <c r="P34" s="123"/>
      <c r="Q34" s="124" t="str">
        <f>IF(OR(R34="Preventivo",R34="Detectivo"),"Probabilidad",IF(R34="Correctivo","Impacto",""))</f>
        <v/>
      </c>
      <c r="R34" s="125"/>
      <c r="S34" s="125"/>
      <c r="T34" s="126" t="str">
        <f>IF(AND(R34="Preventivo",S34="Automático"),"50%",IF(AND(R34="Preventivo",S34="Manual"),"40%",IF(AND(R34="Detectivo",S34="Automático"),"40%",IF(AND(R34="Detectivo",S34="Manual"),"30%",IF(AND(R34="Correctivo",S34="Automático"),"35%",IF(AND(R34="Correctivo",S34="Manual"),"25%",""))))))</f>
        <v/>
      </c>
      <c r="U34" s="125"/>
      <c r="V34" s="125"/>
      <c r="W34" s="125"/>
      <c r="X34" s="127" t="str">
        <f>IFERROR(IF(Q34="Probabilidad",(I34-(+I34*T34)),IF(Q34="Impacto",I34,"")),"")</f>
        <v/>
      </c>
      <c r="Y34" s="128" t="str">
        <f>IFERROR(IF(X34="","",IF(X34&lt;=0.2,"Muy Baja",IF(X34&lt;=0.4,"Baja",IF(X34&lt;=0.6,"Media",IF(X34&lt;=0.8,"Alta","Muy Alta"))))),"")</f>
        <v/>
      </c>
      <c r="Z34" s="129" t="str">
        <f>+X34</f>
        <v/>
      </c>
      <c r="AA34" s="128" t="str">
        <f>IFERROR(IF(AB34="","",IF(AB34&lt;=0.2,"Leve",IF(AB34&lt;=0.4,"Menor",IF(AB34&lt;=0.6,"Moderado",IF(AB34&lt;=0.8,"Mayor","Catastrófico"))))),"")</f>
        <v/>
      </c>
      <c r="AB34" s="129" t="str">
        <f>IFERROR(IF(Q34="Impacto",(M34-(+M34*T34)),IF(Q34="Probabilidad",M34,"")),"")</f>
        <v/>
      </c>
      <c r="AC34" s="130"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1"/>
      <c r="AE34" s="132"/>
      <c r="AF34" s="133"/>
      <c r="AG34" s="134"/>
      <c r="AH34" s="134"/>
      <c r="AI34" s="132"/>
      <c r="AJ34" s="133"/>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row>
    <row r="35" spans="1:68" ht="60" customHeight="1">
      <c r="A35" s="190"/>
      <c r="B35" s="181"/>
      <c r="C35" s="181"/>
      <c r="D35" s="181"/>
      <c r="E35" s="193"/>
      <c r="F35" s="181"/>
      <c r="G35" s="184"/>
      <c r="H35" s="187"/>
      <c r="I35" s="199"/>
      <c r="J35" s="202"/>
      <c r="K35" s="199">
        <f t="shared" ref="K35:K39" si="31">IF(NOT(ISERROR(MATCH(J35,_xlfn.ANCHORARRAY(E46),0))),I48&amp;"Por favor no seleccionar los criterios de impacto",J35)</f>
        <v>0</v>
      </c>
      <c r="L35" s="187"/>
      <c r="M35" s="199"/>
      <c r="N35" s="196"/>
      <c r="O35" s="122">
        <v>2</v>
      </c>
      <c r="P35" s="123"/>
      <c r="Q35" s="124" t="str">
        <f>IF(OR(R35="Preventivo",R35="Detectivo"),"Probabilidad",IF(R35="Correctivo","Impacto",""))</f>
        <v/>
      </c>
      <c r="R35" s="125"/>
      <c r="S35" s="125"/>
      <c r="T35" s="126" t="str">
        <f t="shared" ref="T35:T39" si="32">IF(AND(R35="Preventivo",S35="Automático"),"50%",IF(AND(R35="Preventivo",S35="Manual"),"40%",IF(AND(R35="Detectivo",S35="Automático"),"40%",IF(AND(R35="Detectivo",S35="Manual"),"30%",IF(AND(R35="Correctivo",S35="Automático"),"35%",IF(AND(R35="Correctivo",S35="Manual"),"25%",""))))))</f>
        <v/>
      </c>
      <c r="U35" s="125"/>
      <c r="V35" s="125"/>
      <c r="W35" s="125"/>
      <c r="X35" s="127" t="str">
        <f>IFERROR(IF(AND(Q34="Probabilidad",Q35="Probabilidad"),(Z34-(+Z34*T35)),IF(Q35="Probabilidad",(I34-(+I34*T35)),IF(Q35="Impacto",Z34,""))),"")</f>
        <v/>
      </c>
      <c r="Y35" s="128" t="str">
        <f t="shared" si="1"/>
        <v/>
      </c>
      <c r="Z35" s="129" t="str">
        <f t="shared" ref="Z35:Z39" si="33">+X35</f>
        <v/>
      </c>
      <c r="AA35" s="128" t="str">
        <f t="shared" si="3"/>
        <v/>
      </c>
      <c r="AB35" s="129" t="str">
        <f>IFERROR(IF(AND(Q34="Impacto",Q35="Impacto"),(AB34-(+AB34*T35)),IF(Q35="Impacto",(M34-(+M34*T35)),IF(Q35="Probabilidad",AB34,""))),"")</f>
        <v/>
      </c>
      <c r="AC35" s="130"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32"/>
      <c r="AF35" s="133"/>
      <c r="AG35" s="134"/>
      <c r="AH35" s="134"/>
      <c r="AI35" s="132"/>
      <c r="AJ35" s="133"/>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row>
    <row r="36" spans="1:68" ht="60" customHeight="1">
      <c r="A36" s="190"/>
      <c r="B36" s="181"/>
      <c r="C36" s="181"/>
      <c r="D36" s="181"/>
      <c r="E36" s="193"/>
      <c r="F36" s="181"/>
      <c r="G36" s="184"/>
      <c r="H36" s="187"/>
      <c r="I36" s="199"/>
      <c r="J36" s="202"/>
      <c r="K36" s="199">
        <f t="shared" si="31"/>
        <v>0</v>
      </c>
      <c r="L36" s="187"/>
      <c r="M36" s="199"/>
      <c r="N36" s="196"/>
      <c r="O36" s="122">
        <v>3</v>
      </c>
      <c r="P36" s="135"/>
      <c r="Q36" s="124" t="str">
        <f>IF(OR(R36="Preventivo",R36="Detectivo"),"Probabilidad",IF(R36="Correctivo","Impacto",""))</f>
        <v/>
      </c>
      <c r="R36" s="125"/>
      <c r="S36" s="125"/>
      <c r="T36" s="126" t="str">
        <f t="shared" si="32"/>
        <v/>
      </c>
      <c r="U36" s="125"/>
      <c r="V36" s="125"/>
      <c r="W36" s="125"/>
      <c r="X36" s="127" t="str">
        <f>IFERROR(IF(AND(Q35="Probabilidad",Q36="Probabilidad"),(Z35-(+Z35*T36)),IF(AND(Q35="Impacto",Q36="Probabilidad"),(Z34-(+Z34*T36)),IF(Q36="Impacto",Z35,""))),"")</f>
        <v/>
      </c>
      <c r="Y36" s="128" t="str">
        <f t="shared" si="1"/>
        <v/>
      </c>
      <c r="Z36" s="129" t="str">
        <f t="shared" si="33"/>
        <v/>
      </c>
      <c r="AA36" s="128" t="str">
        <f t="shared" si="3"/>
        <v/>
      </c>
      <c r="AB36" s="129" t="str">
        <f>IFERROR(IF(AND(Q35="Impacto",Q36="Impacto"),(AB35-(+AB35*T36)),IF(AND(Q35="Probabilidad",Q36="Impacto"),(AB34-(+AB34*T36)),IF(Q36="Probabilidad",AB35,""))),"")</f>
        <v/>
      </c>
      <c r="AC36" s="130" t="str">
        <f t="shared" si="34"/>
        <v/>
      </c>
      <c r="AD36" s="131"/>
      <c r="AE36" s="132"/>
      <c r="AF36" s="133"/>
      <c r="AG36" s="134"/>
      <c r="AH36" s="134"/>
      <c r="AI36" s="132"/>
      <c r="AJ36" s="133"/>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row>
    <row r="37" spans="1:68" ht="60" customHeight="1">
      <c r="A37" s="190"/>
      <c r="B37" s="181"/>
      <c r="C37" s="181"/>
      <c r="D37" s="181"/>
      <c r="E37" s="193"/>
      <c r="F37" s="181"/>
      <c r="G37" s="184"/>
      <c r="H37" s="187"/>
      <c r="I37" s="199"/>
      <c r="J37" s="202"/>
      <c r="K37" s="199">
        <f t="shared" si="31"/>
        <v>0</v>
      </c>
      <c r="L37" s="187"/>
      <c r="M37" s="199"/>
      <c r="N37" s="196"/>
      <c r="O37" s="122">
        <v>4</v>
      </c>
      <c r="P37" s="123"/>
      <c r="Q37" s="124" t="str">
        <f t="shared" ref="Q37:Q39" si="35">IF(OR(R37="Preventivo",R37="Detectivo"),"Probabilidad",IF(R37="Correctivo","Impacto",""))</f>
        <v/>
      </c>
      <c r="R37" s="125"/>
      <c r="S37" s="125"/>
      <c r="T37" s="126" t="str">
        <f t="shared" si="32"/>
        <v/>
      </c>
      <c r="U37" s="125"/>
      <c r="V37" s="125"/>
      <c r="W37" s="125"/>
      <c r="X37" s="127" t="str">
        <f t="shared" ref="X37:X39" si="36">IFERROR(IF(AND(Q36="Probabilidad",Q37="Probabilidad"),(Z36-(+Z36*T37)),IF(AND(Q36="Impacto",Q37="Probabilidad"),(Z35-(+Z35*T37)),IF(Q37="Impacto",Z36,""))),"")</f>
        <v/>
      </c>
      <c r="Y37" s="128" t="str">
        <f t="shared" si="1"/>
        <v/>
      </c>
      <c r="Z37" s="129" t="str">
        <f t="shared" si="33"/>
        <v/>
      </c>
      <c r="AA37" s="128" t="str">
        <f t="shared" si="3"/>
        <v/>
      </c>
      <c r="AB37" s="129" t="str">
        <f t="shared" ref="AB37:AB39" si="37">IFERROR(IF(AND(Q36="Impacto",Q37="Impacto"),(AB36-(+AB36*T37)),IF(AND(Q36="Probabilidad",Q37="Impacto"),(AB35-(+AB35*T37)),IF(Q37="Probabilidad",AB36,""))),"")</f>
        <v/>
      </c>
      <c r="AC37" s="130"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1"/>
      <c r="AE37" s="132"/>
      <c r="AF37" s="133"/>
      <c r="AG37" s="134"/>
      <c r="AH37" s="134"/>
      <c r="AI37" s="132"/>
      <c r="AJ37" s="133"/>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row>
    <row r="38" spans="1:68" ht="60" customHeight="1">
      <c r="A38" s="190"/>
      <c r="B38" s="181"/>
      <c r="C38" s="181"/>
      <c r="D38" s="181"/>
      <c r="E38" s="193"/>
      <c r="F38" s="181"/>
      <c r="G38" s="184"/>
      <c r="H38" s="187"/>
      <c r="I38" s="199"/>
      <c r="J38" s="202"/>
      <c r="K38" s="199">
        <f t="shared" si="31"/>
        <v>0</v>
      </c>
      <c r="L38" s="187"/>
      <c r="M38" s="199"/>
      <c r="N38" s="196"/>
      <c r="O38" s="122">
        <v>5</v>
      </c>
      <c r="P38" s="123"/>
      <c r="Q38" s="124" t="str">
        <f t="shared" si="35"/>
        <v/>
      </c>
      <c r="R38" s="125"/>
      <c r="S38" s="125"/>
      <c r="T38" s="126" t="str">
        <f t="shared" si="32"/>
        <v/>
      </c>
      <c r="U38" s="125"/>
      <c r="V38" s="125"/>
      <c r="W38" s="125"/>
      <c r="X38" s="127" t="str">
        <f t="shared" si="36"/>
        <v/>
      </c>
      <c r="Y38" s="128" t="str">
        <f t="shared" si="1"/>
        <v/>
      </c>
      <c r="Z38" s="129" t="str">
        <f t="shared" si="33"/>
        <v/>
      </c>
      <c r="AA38" s="128" t="str">
        <f t="shared" si="3"/>
        <v/>
      </c>
      <c r="AB38" s="129" t="str">
        <f t="shared" si="37"/>
        <v/>
      </c>
      <c r="AC38" s="130"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1"/>
      <c r="AE38" s="132"/>
      <c r="AF38" s="133"/>
      <c r="AG38" s="134"/>
      <c r="AH38" s="134"/>
      <c r="AI38" s="132"/>
      <c r="AJ38" s="133"/>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ht="60" customHeight="1">
      <c r="A39" s="191"/>
      <c r="B39" s="182"/>
      <c r="C39" s="182"/>
      <c r="D39" s="182"/>
      <c r="E39" s="194"/>
      <c r="F39" s="182"/>
      <c r="G39" s="185"/>
      <c r="H39" s="188"/>
      <c r="I39" s="200"/>
      <c r="J39" s="203"/>
      <c r="K39" s="200">
        <f t="shared" si="31"/>
        <v>0</v>
      </c>
      <c r="L39" s="188"/>
      <c r="M39" s="200"/>
      <c r="N39" s="197"/>
      <c r="O39" s="122">
        <v>6</v>
      </c>
      <c r="P39" s="123"/>
      <c r="Q39" s="124" t="str">
        <f t="shared" si="35"/>
        <v/>
      </c>
      <c r="R39" s="125"/>
      <c r="S39" s="125"/>
      <c r="T39" s="126" t="str">
        <f t="shared" si="32"/>
        <v/>
      </c>
      <c r="U39" s="125"/>
      <c r="V39" s="125"/>
      <c r="W39" s="125"/>
      <c r="X39" s="127" t="str">
        <f t="shared" si="36"/>
        <v/>
      </c>
      <c r="Y39" s="128" t="str">
        <f t="shared" si="1"/>
        <v/>
      </c>
      <c r="Z39" s="129" t="str">
        <f t="shared" si="33"/>
        <v/>
      </c>
      <c r="AA39" s="128" t="str">
        <f t="shared" si="3"/>
        <v/>
      </c>
      <c r="AB39" s="129" t="str">
        <f t="shared" si="37"/>
        <v/>
      </c>
      <c r="AC39" s="130" t="str">
        <f t="shared" si="38"/>
        <v/>
      </c>
      <c r="AD39" s="131"/>
      <c r="AE39" s="132"/>
      <c r="AF39" s="133"/>
      <c r="AG39" s="134"/>
      <c r="AH39" s="134"/>
      <c r="AI39" s="132"/>
      <c r="AJ39" s="133"/>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ht="60" customHeight="1">
      <c r="A40" s="189">
        <v>6</v>
      </c>
      <c r="B40" s="180"/>
      <c r="C40" s="180"/>
      <c r="D40" s="180"/>
      <c r="E40" s="192"/>
      <c r="F40" s="180"/>
      <c r="G40" s="183"/>
      <c r="H40" s="186" t="str">
        <f>IF(G40&lt;=0,"",IF(G40&lt;=2,"Muy Baja",IF(G40&lt;=24,"Baja",IF(G40&lt;=500,"Media",IF(G40&lt;=5000,"Alta","Muy Alta")))))</f>
        <v/>
      </c>
      <c r="I40" s="198" t="str">
        <f>IF(H40="","",IF(H40="Muy Baja",0.2,IF(H40="Baja",0.4,IF(H40="Media",0.6,IF(H40="Alta",0.8,IF(H40="Muy Alta",1,))))))</f>
        <v/>
      </c>
      <c r="J40" s="201"/>
      <c r="K40" s="198">
        <f>IF(NOT(ISERROR(MATCH(J40,'Tabla Impacto'!$B$221:$B$223,0))),'Tabla Impacto'!$F$223&amp;"Por favor no seleccionar los criterios de impacto(Afectación Económica o presupuestal y Pérdida Reputacional)",J40)</f>
        <v>0</v>
      </c>
      <c r="L40" s="186" t="str">
        <f>IF(OR(K40='Tabla Impacto'!$C$11,K40='Tabla Impacto'!$D$11),"Leve",IF(OR(K40='Tabla Impacto'!$C$12,K40='Tabla Impacto'!$D$12),"Menor",IF(OR(K40='Tabla Impacto'!$C$13,K40='Tabla Impacto'!$D$13),"Moderado",IF(OR(K40='Tabla Impacto'!$C$14,K40='Tabla Impacto'!$D$14),"Mayor",IF(OR(K40='Tabla Impacto'!$C$15,K40='Tabla Impacto'!$D$15),"Catastrófico","")))))</f>
        <v/>
      </c>
      <c r="M40" s="198" t="str">
        <f>IF(L40="","",IF(L40="Leve",0.2,IF(L40="Menor",0.4,IF(L40="Moderado",0.6,IF(L40="Mayor",0.8,IF(L40="Catastrófico",1,))))))</f>
        <v/>
      </c>
      <c r="N40" s="195"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2">
        <v>1</v>
      </c>
      <c r="P40" s="123"/>
      <c r="Q40" s="124" t="str">
        <f>IF(OR(R40="Preventivo",R40="Detectivo"),"Probabilidad",IF(R40="Correctivo","Impacto",""))</f>
        <v/>
      </c>
      <c r="R40" s="125"/>
      <c r="S40" s="125"/>
      <c r="T40" s="126" t="str">
        <f>IF(AND(R40="Preventivo",S40="Automático"),"50%",IF(AND(R40="Preventivo",S40="Manual"),"40%",IF(AND(R40="Detectivo",S40="Automático"),"40%",IF(AND(R40="Detectivo",S40="Manual"),"30%",IF(AND(R40="Correctivo",S40="Automático"),"35%",IF(AND(R40="Correctivo",S40="Manual"),"25%",""))))))</f>
        <v/>
      </c>
      <c r="U40" s="125"/>
      <c r="V40" s="125"/>
      <c r="W40" s="125"/>
      <c r="X40" s="127" t="str">
        <f>IFERROR(IF(Q40="Probabilidad",(I40-(+I40*T40)),IF(Q40="Impacto",I40,"")),"")</f>
        <v/>
      </c>
      <c r="Y40" s="128" t="str">
        <f>IFERROR(IF(X40="","",IF(X40&lt;=0.2,"Muy Baja",IF(X40&lt;=0.4,"Baja",IF(X40&lt;=0.6,"Media",IF(X40&lt;=0.8,"Alta","Muy Alta"))))),"")</f>
        <v/>
      </c>
      <c r="Z40" s="129" t="str">
        <f>+X40</f>
        <v/>
      </c>
      <c r="AA40" s="128" t="str">
        <f>IFERROR(IF(AB40="","",IF(AB40&lt;=0.2,"Leve",IF(AB40&lt;=0.4,"Menor",IF(AB40&lt;=0.6,"Moderado",IF(AB40&lt;=0.8,"Mayor","Catastrófico"))))),"")</f>
        <v/>
      </c>
      <c r="AB40" s="129" t="str">
        <f>IFERROR(IF(Q40="Impacto",(M40-(+M40*T40)),IF(Q40="Probabilidad",M40,"")),"")</f>
        <v/>
      </c>
      <c r="AC40" s="13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1"/>
      <c r="AE40" s="132"/>
      <c r="AF40" s="133"/>
      <c r="AG40" s="134"/>
      <c r="AH40" s="134"/>
      <c r="AI40" s="132"/>
      <c r="AJ40" s="133"/>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ht="60" customHeight="1">
      <c r="A41" s="190"/>
      <c r="B41" s="181"/>
      <c r="C41" s="181"/>
      <c r="D41" s="181"/>
      <c r="E41" s="193"/>
      <c r="F41" s="181"/>
      <c r="G41" s="184"/>
      <c r="H41" s="187"/>
      <c r="I41" s="199"/>
      <c r="J41" s="202"/>
      <c r="K41" s="199">
        <f t="shared" ref="K41:K45" si="39">IF(NOT(ISERROR(MATCH(J41,_xlfn.ANCHORARRAY(E52),0))),I54&amp;"Por favor no seleccionar los criterios de impacto",J41)</f>
        <v>0</v>
      </c>
      <c r="L41" s="187"/>
      <c r="M41" s="199"/>
      <c r="N41" s="196"/>
      <c r="O41" s="122">
        <v>2</v>
      </c>
      <c r="P41" s="123"/>
      <c r="Q41" s="124" t="str">
        <f>IF(OR(R41="Preventivo",R41="Detectivo"),"Probabilidad",IF(R41="Correctivo","Impacto",""))</f>
        <v/>
      </c>
      <c r="R41" s="125"/>
      <c r="S41" s="125"/>
      <c r="T41" s="126" t="str">
        <f t="shared" ref="T41:T45" si="40">IF(AND(R41="Preventivo",S41="Automático"),"50%",IF(AND(R41="Preventivo",S41="Manual"),"40%",IF(AND(R41="Detectivo",S41="Automático"),"40%",IF(AND(R41="Detectivo",S41="Manual"),"30%",IF(AND(R41="Correctivo",S41="Automático"),"35%",IF(AND(R41="Correctivo",S41="Manual"),"25%",""))))))</f>
        <v/>
      </c>
      <c r="U41" s="125"/>
      <c r="V41" s="125"/>
      <c r="W41" s="125"/>
      <c r="X41" s="127" t="str">
        <f>IFERROR(IF(AND(Q40="Probabilidad",Q41="Probabilidad"),(Z40-(+Z40*T41)),IF(Q41="Probabilidad",(I40-(+I40*T41)),IF(Q41="Impacto",Z40,""))),"")</f>
        <v/>
      </c>
      <c r="Y41" s="128" t="str">
        <f t="shared" si="1"/>
        <v/>
      </c>
      <c r="Z41" s="129" t="str">
        <f t="shared" ref="Z41:Z45" si="41">+X41</f>
        <v/>
      </c>
      <c r="AA41" s="128" t="str">
        <f t="shared" si="3"/>
        <v/>
      </c>
      <c r="AB41" s="129" t="str">
        <f>IFERROR(IF(AND(Q40="Impacto",Q41="Impacto"),(AB40-(+AB40*T41)),IF(Q41="Impacto",(M40-(+M40*T41)),IF(Q41="Probabilidad",AB40,""))),"")</f>
        <v/>
      </c>
      <c r="AC41" s="130"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1"/>
      <c r="AE41" s="132"/>
      <c r="AF41" s="133"/>
      <c r="AG41" s="134"/>
      <c r="AH41" s="134"/>
      <c r="AI41" s="132"/>
      <c r="AJ41" s="133"/>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row>
    <row r="42" spans="1:68" ht="60" customHeight="1">
      <c r="A42" s="190"/>
      <c r="B42" s="181"/>
      <c r="C42" s="181"/>
      <c r="D42" s="181"/>
      <c r="E42" s="193"/>
      <c r="F42" s="181"/>
      <c r="G42" s="184"/>
      <c r="H42" s="187"/>
      <c r="I42" s="199"/>
      <c r="J42" s="202"/>
      <c r="K42" s="199">
        <f t="shared" si="39"/>
        <v>0</v>
      </c>
      <c r="L42" s="187"/>
      <c r="M42" s="199"/>
      <c r="N42" s="196"/>
      <c r="O42" s="122">
        <v>3</v>
      </c>
      <c r="P42" s="135"/>
      <c r="Q42" s="124" t="str">
        <f>IF(OR(R42="Preventivo",R42="Detectivo"),"Probabilidad",IF(R42="Correctivo","Impacto",""))</f>
        <v/>
      </c>
      <c r="R42" s="125"/>
      <c r="S42" s="125"/>
      <c r="T42" s="126" t="str">
        <f t="shared" si="40"/>
        <v/>
      </c>
      <c r="U42" s="125"/>
      <c r="V42" s="125"/>
      <c r="W42" s="125"/>
      <c r="X42" s="127" t="str">
        <f>IFERROR(IF(AND(Q41="Probabilidad",Q42="Probabilidad"),(Z41-(+Z41*T42)),IF(AND(Q41="Impacto",Q42="Probabilidad"),(Z40-(+Z40*T42)),IF(Q42="Impacto",Z41,""))),"")</f>
        <v/>
      </c>
      <c r="Y42" s="128" t="str">
        <f t="shared" si="1"/>
        <v/>
      </c>
      <c r="Z42" s="129" t="str">
        <f t="shared" si="41"/>
        <v/>
      </c>
      <c r="AA42" s="128" t="str">
        <f t="shared" si="3"/>
        <v/>
      </c>
      <c r="AB42" s="129" t="str">
        <f>IFERROR(IF(AND(Q41="Impacto",Q42="Impacto"),(AB41-(+AB41*T42)),IF(AND(Q41="Probabilidad",Q42="Impacto"),(AB40-(+AB40*T42)),IF(Q42="Probabilidad",AB41,""))),"")</f>
        <v/>
      </c>
      <c r="AC42" s="130" t="str">
        <f t="shared" si="42"/>
        <v/>
      </c>
      <c r="AD42" s="131"/>
      <c r="AE42" s="132"/>
      <c r="AF42" s="133"/>
      <c r="AG42" s="134"/>
      <c r="AH42" s="134"/>
      <c r="AI42" s="132"/>
      <c r="AJ42" s="133"/>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ht="60" customHeight="1">
      <c r="A43" s="190"/>
      <c r="B43" s="181"/>
      <c r="C43" s="181"/>
      <c r="D43" s="181"/>
      <c r="E43" s="193"/>
      <c r="F43" s="181"/>
      <c r="G43" s="184"/>
      <c r="H43" s="187"/>
      <c r="I43" s="199"/>
      <c r="J43" s="202"/>
      <c r="K43" s="199">
        <f t="shared" si="39"/>
        <v>0</v>
      </c>
      <c r="L43" s="187"/>
      <c r="M43" s="199"/>
      <c r="N43" s="196"/>
      <c r="O43" s="122">
        <v>4</v>
      </c>
      <c r="P43" s="123"/>
      <c r="Q43" s="124" t="str">
        <f t="shared" ref="Q43:Q45" si="43">IF(OR(R43="Preventivo",R43="Detectivo"),"Probabilidad",IF(R43="Correctivo","Impacto",""))</f>
        <v/>
      </c>
      <c r="R43" s="125"/>
      <c r="S43" s="125"/>
      <c r="T43" s="126" t="str">
        <f t="shared" si="40"/>
        <v/>
      </c>
      <c r="U43" s="125"/>
      <c r="V43" s="125"/>
      <c r="W43" s="125"/>
      <c r="X43" s="127" t="str">
        <f t="shared" ref="X43:X45" si="44">IFERROR(IF(AND(Q42="Probabilidad",Q43="Probabilidad"),(Z42-(+Z42*T43)),IF(AND(Q42="Impacto",Q43="Probabilidad"),(Z41-(+Z41*T43)),IF(Q43="Impacto",Z42,""))),"")</f>
        <v/>
      </c>
      <c r="Y43" s="128" t="str">
        <f t="shared" si="1"/>
        <v/>
      </c>
      <c r="Z43" s="129" t="str">
        <f t="shared" si="41"/>
        <v/>
      </c>
      <c r="AA43" s="128" t="str">
        <f t="shared" si="3"/>
        <v/>
      </c>
      <c r="AB43" s="129" t="str">
        <f t="shared" ref="AB43:AB45" si="45">IFERROR(IF(AND(Q42="Impacto",Q43="Impacto"),(AB42-(+AB42*T43)),IF(AND(Q42="Probabilidad",Q43="Impacto"),(AB41-(+AB41*T43)),IF(Q43="Probabilidad",AB42,""))),"")</f>
        <v/>
      </c>
      <c r="AC43" s="13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1"/>
      <c r="AE43" s="132"/>
      <c r="AF43" s="133"/>
      <c r="AG43" s="134"/>
      <c r="AH43" s="134"/>
      <c r="AI43" s="132"/>
      <c r="AJ43" s="133"/>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ht="60" customHeight="1">
      <c r="A44" s="190"/>
      <c r="B44" s="181"/>
      <c r="C44" s="181"/>
      <c r="D44" s="181"/>
      <c r="E44" s="193"/>
      <c r="F44" s="181"/>
      <c r="G44" s="184"/>
      <c r="H44" s="187"/>
      <c r="I44" s="199"/>
      <c r="J44" s="202"/>
      <c r="K44" s="199">
        <f t="shared" si="39"/>
        <v>0</v>
      </c>
      <c r="L44" s="187"/>
      <c r="M44" s="199"/>
      <c r="N44" s="196"/>
      <c r="O44" s="122">
        <v>5</v>
      </c>
      <c r="P44" s="123"/>
      <c r="Q44" s="124" t="str">
        <f t="shared" si="43"/>
        <v/>
      </c>
      <c r="R44" s="125"/>
      <c r="S44" s="125"/>
      <c r="T44" s="126" t="str">
        <f t="shared" si="40"/>
        <v/>
      </c>
      <c r="U44" s="125"/>
      <c r="V44" s="125"/>
      <c r="W44" s="125"/>
      <c r="X44" s="127" t="str">
        <f t="shared" si="44"/>
        <v/>
      </c>
      <c r="Y44" s="128" t="str">
        <f t="shared" si="1"/>
        <v/>
      </c>
      <c r="Z44" s="129" t="str">
        <f t="shared" si="41"/>
        <v/>
      </c>
      <c r="AA44" s="128" t="str">
        <f t="shared" si="3"/>
        <v/>
      </c>
      <c r="AB44" s="129" t="str">
        <f t="shared" si="45"/>
        <v/>
      </c>
      <c r="AC44" s="130"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1"/>
      <c r="AE44" s="132"/>
      <c r="AF44" s="133"/>
      <c r="AG44" s="134"/>
      <c r="AH44" s="134"/>
      <c r="AI44" s="132"/>
      <c r="AJ44" s="133"/>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row>
    <row r="45" spans="1:68" ht="60" customHeight="1">
      <c r="A45" s="191"/>
      <c r="B45" s="182"/>
      <c r="C45" s="182"/>
      <c r="D45" s="182"/>
      <c r="E45" s="194"/>
      <c r="F45" s="182"/>
      <c r="G45" s="185"/>
      <c r="H45" s="188"/>
      <c r="I45" s="200"/>
      <c r="J45" s="203"/>
      <c r="K45" s="200">
        <f t="shared" si="39"/>
        <v>0</v>
      </c>
      <c r="L45" s="188"/>
      <c r="M45" s="200"/>
      <c r="N45" s="197"/>
      <c r="O45" s="122">
        <v>6</v>
      </c>
      <c r="P45" s="123"/>
      <c r="Q45" s="124" t="str">
        <f t="shared" si="43"/>
        <v/>
      </c>
      <c r="R45" s="125"/>
      <c r="S45" s="125"/>
      <c r="T45" s="126" t="str">
        <f t="shared" si="40"/>
        <v/>
      </c>
      <c r="U45" s="125"/>
      <c r="V45" s="125"/>
      <c r="W45" s="125"/>
      <c r="X45" s="127" t="str">
        <f t="shared" si="44"/>
        <v/>
      </c>
      <c r="Y45" s="128" t="str">
        <f t="shared" si="1"/>
        <v/>
      </c>
      <c r="Z45" s="129" t="str">
        <f t="shared" si="41"/>
        <v/>
      </c>
      <c r="AA45" s="128" t="str">
        <f>IFERROR(IF(AB45="","",IF(AB45&lt;=0.2,"Leve",IF(AB45&lt;=0.4,"Menor",IF(AB45&lt;=0.6,"Moderado",IF(AB45&lt;=0.8,"Mayor","Catastrófico"))))),"")</f>
        <v/>
      </c>
      <c r="AB45" s="129" t="str">
        <f t="shared" si="45"/>
        <v/>
      </c>
      <c r="AC45" s="13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1"/>
      <c r="AE45" s="132"/>
      <c r="AF45" s="133"/>
      <c r="AG45" s="134"/>
      <c r="AH45" s="134"/>
      <c r="AI45" s="132"/>
      <c r="AJ45" s="133"/>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row>
    <row r="46" spans="1:68" ht="60" customHeight="1">
      <c r="A46" s="189">
        <v>7</v>
      </c>
      <c r="B46" s="180"/>
      <c r="C46" s="180"/>
      <c r="D46" s="180"/>
      <c r="E46" s="192"/>
      <c r="F46" s="180"/>
      <c r="G46" s="183"/>
      <c r="H46" s="186" t="str">
        <f>IF(G46&lt;=0,"",IF(G46&lt;=2,"Muy Baja",IF(G46&lt;=24,"Baja",IF(G46&lt;=500,"Media",IF(G46&lt;=5000,"Alta","Muy Alta")))))</f>
        <v/>
      </c>
      <c r="I46" s="198" t="str">
        <f>IF(H46="","",IF(H46="Muy Baja",0.2,IF(H46="Baja",0.4,IF(H46="Media",0.6,IF(H46="Alta",0.8,IF(H46="Muy Alta",1,))))))</f>
        <v/>
      </c>
      <c r="J46" s="201"/>
      <c r="K46" s="198">
        <f>IF(NOT(ISERROR(MATCH(J46,'Tabla Impacto'!$B$221:$B$223,0))),'Tabla Impacto'!$F$223&amp;"Por favor no seleccionar los criterios de impacto(Afectación Económica o presupuestal y Pérdida Reputacional)",J46)</f>
        <v>0</v>
      </c>
      <c r="L46" s="186" t="str">
        <f>IF(OR(K46='Tabla Impacto'!$C$11,K46='Tabla Impacto'!$D$11),"Leve",IF(OR(K46='Tabla Impacto'!$C$12,K46='Tabla Impacto'!$D$12),"Menor",IF(OR(K46='Tabla Impacto'!$C$13,K46='Tabla Impacto'!$D$13),"Moderado",IF(OR(K46='Tabla Impacto'!$C$14,K46='Tabla Impacto'!$D$14),"Mayor",IF(OR(K46='Tabla Impacto'!$C$15,K46='Tabla Impacto'!$D$15),"Catastrófico","")))))</f>
        <v/>
      </c>
      <c r="M46" s="198" t="str">
        <f>IF(L46="","",IF(L46="Leve",0.2,IF(L46="Menor",0.4,IF(L46="Moderado",0.6,IF(L46="Mayor",0.8,IF(L46="Catastrófico",1,))))))</f>
        <v/>
      </c>
      <c r="N46" s="195"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2">
        <v>1</v>
      </c>
      <c r="P46" s="123"/>
      <c r="Q46" s="124" t="str">
        <f>IF(OR(R46="Preventivo",R46="Detectivo"),"Probabilidad",IF(R46="Correctivo","Impacto",""))</f>
        <v/>
      </c>
      <c r="R46" s="125"/>
      <c r="S46" s="125"/>
      <c r="T46" s="126" t="str">
        <f>IF(AND(R46="Preventivo",S46="Automático"),"50%",IF(AND(R46="Preventivo",S46="Manual"),"40%",IF(AND(R46="Detectivo",S46="Automático"),"40%",IF(AND(R46="Detectivo",S46="Manual"),"30%",IF(AND(R46="Correctivo",S46="Automático"),"35%",IF(AND(R46="Correctivo",S46="Manual"),"25%",""))))))</f>
        <v/>
      </c>
      <c r="U46" s="125"/>
      <c r="V46" s="125"/>
      <c r="W46" s="125"/>
      <c r="X46" s="127" t="str">
        <f>IFERROR(IF(Q46="Probabilidad",(I46-(+I46*T46)),IF(Q46="Impacto",I46,"")),"")</f>
        <v/>
      </c>
      <c r="Y46" s="128" t="str">
        <f>IFERROR(IF(X46="","",IF(X46&lt;=0.2,"Muy Baja",IF(X46&lt;=0.4,"Baja",IF(X46&lt;=0.6,"Media",IF(X46&lt;=0.8,"Alta","Muy Alta"))))),"")</f>
        <v/>
      </c>
      <c r="Z46" s="129" t="str">
        <f>+X46</f>
        <v/>
      </c>
      <c r="AA46" s="128" t="str">
        <f>IFERROR(IF(AB46="","",IF(AB46&lt;=0.2,"Leve",IF(AB46&lt;=0.4,"Menor",IF(AB46&lt;=0.6,"Moderado",IF(AB46&lt;=0.8,"Mayor","Catastrófico"))))),"")</f>
        <v/>
      </c>
      <c r="AB46" s="129" t="str">
        <f>IFERROR(IF(Q46="Impacto",(M46-(+M46*T46)),IF(Q46="Probabilidad",M46,"")),"")</f>
        <v/>
      </c>
      <c r="AC46" s="13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1"/>
      <c r="AE46" s="132"/>
      <c r="AF46" s="133"/>
      <c r="AG46" s="134"/>
      <c r="AH46" s="134"/>
      <c r="AI46" s="132"/>
      <c r="AJ46" s="133"/>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row>
    <row r="47" spans="1:68" ht="60" customHeight="1">
      <c r="A47" s="190"/>
      <c r="B47" s="181"/>
      <c r="C47" s="181"/>
      <c r="D47" s="181"/>
      <c r="E47" s="193"/>
      <c r="F47" s="181"/>
      <c r="G47" s="184"/>
      <c r="H47" s="187"/>
      <c r="I47" s="199"/>
      <c r="J47" s="202"/>
      <c r="K47" s="199">
        <f t="shared" ref="K47:K51" si="47">IF(NOT(ISERROR(MATCH(J47,_xlfn.ANCHORARRAY(E58),0))),I60&amp;"Por favor no seleccionar los criterios de impacto",J47)</f>
        <v>0</v>
      </c>
      <c r="L47" s="187"/>
      <c r="M47" s="199"/>
      <c r="N47" s="196"/>
      <c r="O47" s="122">
        <v>2</v>
      </c>
      <c r="P47" s="123"/>
      <c r="Q47" s="124" t="str">
        <f>IF(OR(R47="Preventivo",R47="Detectivo"),"Probabilidad",IF(R47="Correctivo","Impacto",""))</f>
        <v/>
      </c>
      <c r="R47" s="125"/>
      <c r="S47" s="125"/>
      <c r="T47" s="126" t="str">
        <f t="shared" ref="T47:T51" si="48">IF(AND(R47="Preventivo",S47="Automático"),"50%",IF(AND(R47="Preventivo",S47="Manual"),"40%",IF(AND(R47="Detectivo",S47="Automático"),"40%",IF(AND(R47="Detectivo",S47="Manual"),"30%",IF(AND(R47="Correctivo",S47="Automático"),"35%",IF(AND(R47="Correctivo",S47="Manual"),"25%",""))))))</f>
        <v/>
      </c>
      <c r="U47" s="125"/>
      <c r="V47" s="125"/>
      <c r="W47" s="125"/>
      <c r="X47" s="127" t="str">
        <f>IFERROR(IF(AND(Q46="Probabilidad",Q47="Probabilidad"),(Z46-(+Z46*T47)),IF(Q47="Probabilidad",(I46-(+I46*T47)),IF(Q47="Impacto",Z46,""))),"")</f>
        <v/>
      </c>
      <c r="Y47" s="128" t="str">
        <f t="shared" si="1"/>
        <v/>
      </c>
      <c r="Z47" s="129" t="str">
        <f t="shared" ref="Z47:Z51" si="49">+X47</f>
        <v/>
      </c>
      <c r="AA47" s="128" t="str">
        <f t="shared" si="3"/>
        <v/>
      </c>
      <c r="AB47" s="129" t="str">
        <f>IFERROR(IF(AND(Q46="Impacto",Q47="Impacto"),(AB46-(+AB46*T47)),IF(Q47="Impacto",(M46-(+M46*T47)),IF(Q47="Probabilidad",AB46,""))),"")</f>
        <v/>
      </c>
      <c r="AC47" s="130"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1"/>
      <c r="AE47" s="132"/>
      <c r="AF47" s="133"/>
      <c r="AG47" s="134"/>
      <c r="AH47" s="134"/>
      <c r="AI47" s="132"/>
      <c r="AJ47" s="133"/>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row>
    <row r="48" spans="1:68" ht="60" customHeight="1">
      <c r="A48" s="190"/>
      <c r="B48" s="181"/>
      <c r="C48" s="181"/>
      <c r="D48" s="181"/>
      <c r="E48" s="193"/>
      <c r="F48" s="181"/>
      <c r="G48" s="184"/>
      <c r="H48" s="187"/>
      <c r="I48" s="199"/>
      <c r="J48" s="202"/>
      <c r="K48" s="199">
        <f t="shared" si="47"/>
        <v>0</v>
      </c>
      <c r="L48" s="187"/>
      <c r="M48" s="199"/>
      <c r="N48" s="196"/>
      <c r="O48" s="122">
        <v>3</v>
      </c>
      <c r="P48" s="135"/>
      <c r="Q48" s="124" t="str">
        <f>IF(OR(R48="Preventivo",R48="Detectivo"),"Probabilidad",IF(R48="Correctivo","Impacto",""))</f>
        <v/>
      </c>
      <c r="R48" s="125"/>
      <c r="S48" s="125"/>
      <c r="T48" s="126" t="str">
        <f t="shared" si="48"/>
        <v/>
      </c>
      <c r="U48" s="125"/>
      <c r="V48" s="125"/>
      <c r="W48" s="125"/>
      <c r="X48" s="127" t="str">
        <f>IFERROR(IF(AND(Q47="Probabilidad",Q48="Probabilidad"),(Z47-(+Z47*T48)),IF(AND(Q47="Impacto",Q48="Probabilidad"),(Z46-(+Z46*T48)),IF(Q48="Impacto",Z47,""))),"")</f>
        <v/>
      </c>
      <c r="Y48" s="128" t="str">
        <f t="shared" si="1"/>
        <v/>
      </c>
      <c r="Z48" s="129" t="str">
        <f t="shared" si="49"/>
        <v/>
      </c>
      <c r="AA48" s="128" t="str">
        <f t="shared" si="3"/>
        <v/>
      </c>
      <c r="AB48" s="129" t="str">
        <f>IFERROR(IF(AND(Q47="Impacto",Q48="Impacto"),(AB47-(+AB47*T48)),IF(AND(Q47="Probabilidad",Q48="Impacto"),(AB46-(+AB46*T48)),IF(Q48="Probabilidad",AB47,""))),"")</f>
        <v/>
      </c>
      <c r="AC48" s="130" t="str">
        <f t="shared" si="50"/>
        <v/>
      </c>
      <c r="AD48" s="131"/>
      <c r="AE48" s="132"/>
      <c r="AF48" s="133"/>
      <c r="AG48" s="134"/>
      <c r="AH48" s="134"/>
      <c r="AI48" s="132"/>
      <c r="AJ48" s="133"/>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row>
    <row r="49" spans="1:68" ht="60" customHeight="1">
      <c r="A49" s="190"/>
      <c r="B49" s="181"/>
      <c r="C49" s="181"/>
      <c r="D49" s="181"/>
      <c r="E49" s="193"/>
      <c r="F49" s="181"/>
      <c r="G49" s="184"/>
      <c r="H49" s="187"/>
      <c r="I49" s="199"/>
      <c r="J49" s="202"/>
      <c r="K49" s="199">
        <f t="shared" si="47"/>
        <v>0</v>
      </c>
      <c r="L49" s="187"/>
      <c r="M49" s="199"/>
      <c r="N49" s="196"/>
      <c r="O49" s="122">
        <v>4</v>
      </c>
      <c r="P49" s="123"/>
      <c r="Q49" s="124" t="str">
        <f t="shared" ref="Q49:Q51" si="51">IF(OR(R49="Preventivo",R49="Detectivo"),"Probabilidad",IF(R49="Correctivo","Impacto",""))</f>
        <v/>
      </c>
      <c r="R49" s="125"/>
      <c r="S49" s="125"/>
      <c r="T49" s="126" t="str">
        <f t="shared" si="48"/>
        <v/>
      </c>
      <c r="U49" s="125"/>
      <c r="V49" s="125"/>
      <c r="W49" s="125"/>
      <c r="X49" s="127" t="str">
        <f t="shared" ref="X49:X51" si="52">IFERROR(IF(AND(Q48="Probabilidad",Q49="Probabilidad"),(Z48-(+Z48*T49)),IF(AND(Q48="Impacto",Q49="Probabilidad"),(Z47-(+Z47*T49)),IF(Q49="Impacto",Z48,""))),"")</f>
        <v/>
      </c>
      <c r="Y49" s="128" t="str">
        <f t="shared" si="1"/>
        <v/>
      </c>
      <c r="Z49" s="129" t="str">
        <f t="shared" si="49"/>
        <v/>
      </c>
      <c r="AA49" s="128" t="str">
        <f t="shared" si="3"/>
        <v/>
      </c>
      <c r="AB49" s="129" t="str">
        <f t="shared" ref="AB49:AB51" si="53">IFERROR(IF(AND(Q48="Impacto",Q49="Impacto"),(AB48-(+AB48*T49)),IF(AND(Q48="Probabilidad",Q49="Impacto"),(AB47-(+AB47*T49)),IF(Q49="Probabilidad",AB48,""))),"")</f>
        <v/>
      </c>
      <c r="AC49" s="130"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1"/>
      <c r="AE49" s="132"/>
      <c r="AF49" s="133"/>
      <c r="AG49" s="134"/>
      <c r="AH49" s="134"/>
      <c r="AI49" s="132"/>
      <c r="AJ49" s="133"/>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row>
    <row r="50" spans="1:68" ht="60" customHeight="1">
      <c r="A50" s="190"/>
      <c r="B50" s="181"/>
      <c r="C50" s="181"/>
      <c r="D50" s="181"/>
      <c r="E50" s="193"/>
      <c r="F50" s="181"/>
      <c r="G50" s="184"/>
      <c r="H50" s="187"/>
      <c r="I50" s="199"/>
      <c r="J50" s="202"/>
      <c r="K50" s="199">
        <f t="shared" si="47"/>
        <v>0</v>
      </c>
      <c r="L50" s="187"/>
      <c r="M50" s="199"/>
      <c r="N50" s="196"/>
      <c r="O50" s="122">
        <v>5</v>
      </c>
      <c r="P50" s="123"/>
      <c r="Q50" s="124" t="str">
        <f t="shared" si="51"/>
        <v/>
      </c>
      <c r="R50" s="125"/>
      <c r="S50" s="125"/>
      <c r="T50" s="126" t="str">
        <f t="shared" si="48"/>
        <v/>
      </c>
      <c r="U50" s="125"/>
      <c r="V50" s="125"/>
      <c r="W50" s="125"/>
      <c r="X50" s="127" t="str">
        <f t="shared" si="52"/>
        <v/>
      </c>
      <c r="Y50" s="128" t="str">
        <f t="shared" si="1"/>
        <v/>
      </c>
      <c r="Z50" s="129" t="str">
        <f t="shared" si="49"/>
        <v/>
      </c>
      <c r="AA50" s="128" t="str">
        <f t="shared" si="3"/>
        <v/>
      </c>
      <c r="AB50" s="129" t="str">
        <f t="shared" si="53"/>
        <v/>
      </c>
      <c r="AC50" s="130"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1"/>
      <c r="AE50" s="132"/>
      <c r="AF50" s="133"/>
      <c r="AG50" s="134"/>
      <c r="AH50" s="134"/>
      <c r="AI50" s="132"/>
      <c r="AJ50" s="133"/>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row>
    <row r="51" spans="1:68" ht="60" customHeight="1">
      <c r="A51" s="191"/>
      <c r="B51" s="182"/>
      <c r="C51" s="182"/>
      <c r="D51" s="182"/>
      <c r="E51" s="194"/>
      <c r="F51" s="182"/>
      <c r="G51" s="185"/>
      <c r="H51" s="188"/>
      <c r="I51" s="200"/>
      <c r="J51" s="203"/>
      <c r="K51" s="200">
        <f t="shared" si="47"/>
        <v>0</v>
      </c>
      <c r="L51" s="188"/>
      <c r="M51" s="200"/>
      <c r="N51" s="197"/>
      <c r="O51" s="122">
        <v>6</v>
      </c>
      <c r="P51" s="123"/>
      <c r="Q51" s="124" t="str">
        <f t="shared" si="51"/>
        <v/>
      </c>
      <c r="R51" s="125"/>
      <c r="S51" s="125"/>
      <c r="T51" s="126" t="str">
        <f t="shared" si="48"/>
        <v/>
      </c>
      <c r="U51" s="125"/>
      <c r="V51" s="125"/>
      <c r="W51" s="125"/>
      <c r="X51" s="127" t="str">
        <f t="shared" si="52"/>
        <v/>
      </c>
      <c r="Y51" s="128" t="str">
        <f t="shared" si="1"/>
        <v/>
      </c>
      <c r="Z51" s="129" t="str">
        <f t="shared" si="49"/>
        <v/>
      </c>
      <c r="AA51" s="128" t="str">
        <f t="shared" si="3"/>
        <v/>
      </c>
      <c r="AB51" s="129" t="str">
        <f t="shared" si="53"/>
        <v/>
      </c>
      <c r="AC51" s="130" t="str">
        <f t="shared" si="54"/>
        <v/>
      </c>
      <c r="AD51" s="131"/>
      <c r="AE51" s="132"/>
      <c r="AF51" s="133"/>
      <c r="AG51" s="134"/>
      <c r="AH51" s="134"/>
      <c r="AI51" s="132"/>
      <c r="AJ51" s="133"/>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row>
    <row r="52" spans="1:68" ht="60" customHeight="1">
      <c r="A52" s="189">
        <v>8</v>
      </c>
      <c r="B52" s="180"/>
      <c r="C52" s="180"/>
      <c r="D52" s="180"/>
      <c r="E52" s="192"/>
      <c r="F52" s="180"/>
      <c r="G52" s="183"/>
      <c r="H52" s="186" t="str">
        <f>IF(G52&lt;=0,"",IF(G52&lt;=2,"Muy Baja",IF(G52&lt;=24,"Baja",IF(G52&lt;=500,"Media",IF(G52&lt;=5000,"Alta","Muy Alta")))))</f>
        <v/>
      </c>
      <c r="I52" s="198" t="str">
        <f>IF(H52="","",IF(H52="Muy Baja",0.2,IF(H52="Baja",0.4,IF(H52="Media",0.6,IF(H52="Alta",0.8,IF(H52="Muy Alta",1,))))))</f>
        <v/>
      </c>
      <c r="J52" s="201"/>
      <c r="K52" s="198">
        <f>IF(NOT(ISERROR(MATCH(J52,'Tabla Impacto'!$B$221:$B$223,0))),'Tabla Impacto'!$F$223&amp;"Por favor no seleccionar los criterios de impacto(Afectación Económica o presupuestal y Pérdida Reputacional)",J52)</f>
        <v>0</v>
      </c>
      <c r="L52" s="186" t="str">
        <f>IF(OR(K52='Tabla Impacto'!$C$11,K52='Tabla Impacto'!$D$11),"Leve",IF(OR(K52='Tabla Impacto'!$C$12,K52='Tabla Impacto'!$D$12),"Menor",IF(OR(K52='Tabla Impacto'!$C$13,K52='Tabla Impacto'!$D$13),"Moderado",IF(OR(K52='Tabla Impacto'!$C$14,K52='Tabla Impacto'!$D$14),"Mayor",IF(OR(K52='Tabla Impacto'!$C$15,K52='Tabla Impacto'!$D$15),"Catastrófico","")))))</f>
        <v/>
      </c>
      <c r="M52" s="198" t="str">
        <f>IF(L52="","",IF(L52="Leve",0.2,IF(L52="Menor",0.4,IF(L52="Moderado",0.6,IF(L52="Mayor",0.8,IF(L52="Catastrófico",1,))))))</f>
        <v/>
      </c>
      <c r="N52" s="195"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2">
        <v>1</v>
      </c>
      <c r="P52" s="123"/>
      <c r="Q52" s="124" t="str">
        <f>IF(OR(R52="Preventivo",R52="Detectivo"),"Probabilidad",IF(R52="Correctivo","Impacto",""))</f>
        <v/>
      </c>
      <c r="R52" s="125"/>
      <c r="S52" s="125"/>
      <c r="T52" s="126" t="str">
        <f>IF(AND(R52="Preventivo",S52="Automático"),"50%",IF(AND(R52="Preventivo",S52="Manual"),"40%",IF(AND(R52="Detectivo",S52="Automático"),"40%",IF(AND(R52="Detectivo",S52="Manual"),"30%",IF(AND(R52="Correctivo",S52="Automático"),"35%",IF(AND(R52="Correctivo",S52="Manual"),"25%",""))))))</f>
        <v/>
      </c>
      <c r="U52" s="125"/>
      <c r="V52" s="125"/>
      <c r="W52" s="125"/>
      <c r="X52" s="127" t="str">
        <f>IFERROR(IF(Q52="Probabilidad",(I52-(+I52*T52)),IF(Q52="Impacto",I52,"")),"")</f>
        <v/>
      </c>
      <c r="Y52" s="128" t="str">
        <f>IFERROR(IF(X52="","",IF(X52&lt;=0.2,"Muy Baja",IF(X52&lt;=0.4,"Baja",IF(X52&lt;=0.6,"Media",IF(X52&lt;=0.8,"Alta","Muy Alta"))))),"")</f>
        <v/>
      </c>
      <c r="Z52" s="129" t="str">
        <f>+X52</f>
        <v/>
      </c>
      <c r="AA52" s="128" t="str">
        <f>IFERROR(IF(AB52="","",IF(AB52&lt;=0.2,"Leve",IF(AB52&lt;=0.4,"Menor",IF(AB52&lt;=0.6,"Moderado",IF(AB52&lt;=0.8,"Mayor","Catastrófico"))))),"")</f>
        <v/>
      </c>
      <c r="AB52" s="129" t="str">
        <f>IFERROR(IF(Q52="Impacto",(M52-(+M52*T52)),IF(Q52="Probabilidad",M52,"")),"")</f>
        <v/>
      </c>
      <c r="AC52" s="130"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1"/>
      <c r="AE52" s="132"/>
      <c r="AF52" s="133"/>
      <c r="AG52" s="134"/>
      <c r="AH52" s="134"/>
      <c r="AI52" s="132"/>
      <c r="AJ52" s="133"/>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row>
    <row r="53" spans="1:68" ht="60" customHeight="1">
      <c r="A53" s="190"/>
      <c r="B53" s="181"/>
      <c r="C53" s="181"/>
      <c r="D53" s="181"/>
      <c r="E53" s="193"/>
      <c r="F53" s="181"/>
      <c r="G53" s="184"/>
      <c r="H53" s="187"/>
      <c r="I53" s="199"/>
      <c r="J53" s="202"/>
      <c r="K53" s="199">
        <f>IF(NOT(ISERROR(MATCH(J53,_xlfn.ANCHORARRAY(E64),0))),I66&amp;"Por favor no seleccionar los criterios de impacto",J53)</f>
        <v>0</v>
      </c>
      <c r="L53" s="187"/>
      <c r="M53" s="199"/>
      <c r="N53" s="196"/>
      <c r="O53" s="122">
        <v>2</v>
      </c>
      <c r="P53" s="123"/>
      <c r="Q53" s="124" t="str">
        <f>IF(OR(R53="Preventivo",R53="Detectivo"),"Probabilidad",IF(R53="Correctivo","Impacto",""))</f>
        <v/>
      </c>
      <c r="R53" s="125"/>
      <c r="S53" s="125"/>
      <c r="T53" s="126" t="str">
        <f t="shared" ref="T53:T57" si="55">IF(AND(R53="Preventivo",S53="Automático"),"50%",IF(AND(R53="Preventivo",S53="Manual"),"40%",IF(AND(R53="Detectivo",S53="Automático"),"40%",IF(AND(R53="Detectivo",S53="Manual"),"30%",IF(AND(R53="Correctivo",S53="Automático"),"35%",IF(AND(R53="Correctivo",S53="Manual"),"25%",""))))))</f>
        <v/>
      </c>
      <c r="U53" s="125"/>
      <c r="V53" s="125"/>
      <c r="W53" s="125"/>
      <c r="X53" s="127" t="str">
        <f>IFERROR(IF(AND(Q52="Probabilidad",Q53="Probabilidad"),(Z52-(+Z52*T53)),IF(Q53="Probabilidad",(I52-(+I52*T53)),IF(Q53="Impacto",Z52,""))),"")</f>
        <v/>
      </c>
      <c r="Y53" s="128" t="str">
        <f t="shared" si="1"/>
        <v/>
      </c>
      <c r="Z53" s="129" t="str">
        <f t="shared" ref="Z53:Z57" si="56">+X53</f>
        <v/>
      </c>
      <c r="AA53" s="128" t="str">
        <f t="shared" si="3"/>
        <v/>
      </c>
      <c r="AB53" s="129" t="str">
        <f>IFERROR(IF(AND(Q52="Impacto",Q53="Impacto"),(AB52-(+AB52*T53)),IF(Q53="Impacto",(M52-(+M52*T53)),IF(Q53="Probabilidad",AB52,""))),"")</f>
        <v/>
      </c>
      <c r="AC53" s="130"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1"/>
      <c r="AE53" s="132"/>
      <c r="AF53" s="133"/>
      <c r="AG53" s="134"/>
      <c r="AH53" s="134"/>
      <c r="AI53" s="132"/>
      <c r="AJ53" s="133"/>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row>
    <row r="54" spans="1:68" ht="60" customHeight="1">
      <c r="A54" s="190"/>
      <c r="B54" s="181"/>
      <c r="C54" s="181"/>
      <c r="D54" s="181"/>
      <c r="E54" s="193"/>
      <c r="F54" s="181"/>
      <c r="G54" s="184"/>
      <c r="H54" s="187"/>
      <c r="I54" s="199"/>
      <c r="J54" s="202"/>
      <c r="K54" s="199">
        <f>IF(NOT(ISERROR(MATCH(J54,_xlfn.ANCHORARRAY(E65),0))),I67&amp;"Por favor no seleccionar los criterios de impacto",J54)</f>
        <v>0</v>
      </c>
      <c r="L54" s="187"/>
      <c r="M54" s="199"/>
      <c r="N54" s="196"/>
      <c r="O54" s="122">
        <v>3</v>
      </c>
      <c r="P54" s="135"/>
      <c r="Q54" s="124" t="str">
        <f>IF(OR(R54="Preventivo",R54="Detectivo"),"Probabilidad",IF(R54="Correctivo","Impacto",""))</f>
        <v/>
      </c>
      <c r="R54" s="125"/>
      <c r="S54" s="125"/>
      <c r="T54" s="126" t="str">
        <f t="shared" si="55"/>
        <v/>
      </c>
      <c r="U54" s="125"/>
      <c r="V54" s="125"/>
      <c r="W54" s="125"/>
      <c r="X54" s="127" t="str">
        <f>IFERROR(IF(AND(Q53="Probabilidad",Q54="Probabilidad"),(Z53-(+Z53*T54)),IF(AND(Q53="Impacto",Q54="Probabilidad"),(Z52-(+Z52*T54)),IF(Q54="Impacto",Z53,""))),"")</f>
        <v/>
      </c>
      <c r="Y54" s="128" t="str">
        <f t="shared" si="1"/>
        <v/>
      </c>
      <c r="Z54" s="129" t="str">
        <f t="shared" si="56"/>
        <v/>
      </c>
      <c r="AA54" s="128" t="str">
        <f t="shared" si="3"/>
        <v/>
      </c>
      <c r="AB54" s="129" t="str">
        <f>IFERROR(IF(AND(Q53="Impacto",Q54="Impacto"),(AB53-(+AB53*T54)),IF(AND(Q53="Probabilidad",Q54="Impacto"),(AB52-(+AB52*T54)),IF(Q54="Probabilidad",AB53,""))),"")</f>
        <v/>
      </c>
      <c r="AC54" s="130" t="str">
        <f t="shared" si="57"/>
        <v/>
      </c>
      <c r="AD54" s="131"/>
      <c r="AE54" s="132"/>
      <c r="AF54" s="133"/>
      <c r="AG54" s="134"/>
      <c r="AH54" s="134"/>
      <c r="AI54" s="132"/>
      <c r="AJ54" s="133"/>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row>
    <row r="55" spans="1:68" ht="60" customHeight="1">
      <c r="A55" s="190"/>
      <c r="B55" s="181"/>
      <c r="C55" s="181"/>
      <c r="D55" s="181"/>
      <c r="E55" s="193"/>
      <c r="F55" s="181"/>
      <c r="G55" s="184"/>
      <c r="H55" s="187"/>
      <c r="I55" s="199"/>
      <c r="J55" s="202"/>
      <c r="K55" s="199">
        <f>IF(NOT(ISERROR(MATCH(J55,_xlfn.ANCHORARRAY(E66),0))),I68&amp;"Por favor no seleccionar los criterios de impacto",J55)</f>
        <v>0</v>
      </c>
      <c r="L55" s="187"/>
      <c r="M55" s="199"/>
      <c r="N55" s="196"/>
      <c r="O55" s="122">
        <v>4</v>
      </c>
      <c r="P55" s="123"/>
      <c r="Q55" s="124" t="str">
        <f t="shared" ref="Q55:Q57" si="58">IF(OR(R55="Preventivo",R55="Detectivo"),"Probabilidad",IF(R55="Correctivo","Impacto",""))</f>
        <v/>
      </c>
      <c r="R55" s="125"/>
      <c r="S55" s="125"/>
      <c r="T55" s="126" t="str">
        <f t="shared" si="55"/>
        <v/>
      </c>
      <c r="U55" s="125"/>
      <c r="V55" s="125"/>
      <c r="W55" s="125"/>
      <c r="X55" s="127" t="str">
        <f t="shared" ref="X55:X57" si="59">IFERROR(IF(AND(Q54="Probabilidad",Q55="Probabilidad"),(Z54-(+Z54*T55)),IF(AND(Q54="Impacto",Q55="Probabilidad"),(Z53-(+Z53*T55)),IF(Q55="Impacto",Z54,""))),"")</f>
        <v/>
      </c>
      <c r="Y55" s="128" t="str">
        <f t="shared" si="1"/>
        <v/>
      </c>
      <c r="Z55" s="129" t="str">
        <f t="shared" si="56"/>
        <v/>
      </c>
      <c r="AA55" s="128" t="str">
        <f t="shared" si="3"/>
        <v/>
      </c>
      <c r="AB55" s="129" t="str">
        <f t="shared" ref="AB55:AB57" si="60">IFERROR(IF(AND(Q54="Impacto",Q55="Impacto"),(AB54-(+AB54*T55)),IF(AND(Q54="Probabilidad",Q55="Impacto"),(AB53-(+AB53*T55)),IF(Q55="Probabilidad",AB54,""))),"")</f>
        <v/>
      </c>
      <c r="AC55" s="130"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1"/>
      <c r="AE55" s="132"/>
      <c r="AF55" s="133"/>
      <c r="AG55" s="134"/>
      <c r="AH55" s="134"/>
      <c r="AI55" s="132"/>
      <c r="AJ55" s="133"/>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row>
    <row r="56" spans="1:68" ht="60" customHeight="1">
      <c r="A56" s="190"/>
      <c r="B56" s="181"/>
      <c r="C56" s="181"/>
      <c r="D56" s="181"/>
      <c r="E56" s="193"/>
      <c r="F56" s="181"/>
      <c r="G56" s="184"/>
      <c r="H56" s="187"/>
      <c r="I56" s="199"/>
      <c r="J56" s="202"/>
      <c r="K56" s="199">
        <f>IF(NOT(ISERROR(MATCH(J56,_xlfn.ANCHORARRAY(E67),0))),I69&amp;"Por favor no seleccionar los criterios de impacto",J56)</f>
        <v>0</v>
      </c>
      <c r="L56" s="187"/>
      <c r="M56" s="199"/>
      <c r="N56" s="196"/>
      <c r="O56" s="122">
        <v>5</v>
      </c>
      <c r="P56" s="123"/>
      <c r="Q56" s="124" t="str">
        <f t="shared" si="58"/>
        <v/>
      </c>
      <c r="R56" s="125"/>
      <c r="S56" s="125"/>
      <c r="T56" s="126" t="str">
        <f t="shared" si="55"/>
        <v/>
      </c>
      <c r="U56" s="125"/>
      <c r="V56" s="125"/>
      <c r="W56" s="125"/>
      <c r="X56" s="127" t="str">
        <f t="shared" si="59"/>
        <v/>
      </c>
      <c r="Y56" s="128" t="str">
        <f t="shared" si="1"/>
        <v/>
      </c>
      <c r="Z56" s="129" t="str">
        <f t="shared" si="56"/>
        <v/>
      </c>
      <c r="AA56" s="128" t="str">
        <f t="shared" si="3"/>
        <v/>
      </c>
      <c r="AB56" s="129" t="str">
        <f t="shared" si="60"/>
        <v/>
      </c>
      <c r="AC56" s="130"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1"/>
      <c r="AE56" s="132"/>
      <c r="AF56" s="133"/>
      <c r="AG56" s="134"/>
      <c r="AH56" s="134"/>
      <c r="AI56" s="132"/>
      <c r="AJ56" s="133"/>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row>
    <row r="57" spans="1:68" ht="60" customHeight="1">
      <c r="A57" s="191"/>
      <c r="B57" s="182"/>
      <c r="C57" s="182"/>
      <c r="D57" s="182"/>
      <c r="E57" s="194"/>
      <c r="F57" s="182"/>
      <c r="G57" s="185"/>
      <c r="H57" s="188"/>
      <c r="I57" s="200"/>
      <c r="J57" s="203"/>
      <c r="K57" s="200">
        <f>IF(NOT(ISERROR(MATCH(J57,_xlfn.ANCHORARRAY(E68),0))),I70&amp;"Por favor no seleccionar los criterios de impacto",J57)</f>
        <v>0</v>
      </c>
      <c r="L57" s="188"/>
      <c r="M57" s="200"/>
      <c r="N57" s="197"/>
      <c r="O57" s="122">
        <v>6</v>
      </c>
      <c r="P57" s="123"/>
      <c r="Q57" s="124" t="str">
        <f t="shared" si="58"/>
        <v/>
      </c>
      <c r="R57" s="125"/>
      <c r="S57" s="125"/>
      <c r="T57" s="126" t="str">
        <f t="shared" si="55"/>
        <v/>
      </c>
      <c r="U57" s="125"/>
      <c r="V57" s="125"/>
      <c r="W57" s="125"/>
      <c r="X57" s="127" t="str">
        <f t="shared" si="59"/>
        <v/>
      </c>
      <c r="Y57" s="128" t="str">
        <f t="shared" si="1"/>
        <v/>
      </c>
      <c r="Z57" s="129" t="str">
        <f t="shared" si="56"/>
        <v/>
      </c>
      <c r="AA57" s="128" t="str">
        <f t="shared" si="3"/>
        <v/>
      </c>
      <c r="AB57" s="129" t="str">
        <f t="shared" si="60"/>
        <v/>
      </c>
      <c r="AC57" s="130" t="str">
        <f t="shared" si="61"/>
        <v/>
      </c>
      <c r="AD57" s="131"/>
      <c r="AE57" s="132"/>
      <c r="AF57" s="133"/>
      <c r="AG57" s="134"/>
      <c r="AH57" s="134"/>
      <c r="AI57" s="132"/>
      <c r="AJ57" s="133"/>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row>
    <row r="58" spans="1:68" ht="60" customHeight="1">
      <c r="A58" s="189">
        <v>9</v>
      </c>
      <c r="B58" s="180"/>
      <c r="C58" s="180"/>
      <c r="D58" s="180"/>
      <c r="E58" s="192"/>
      <c r="F58" s="180"/>
      <c r="G58" s="183"/>
      <c r="H58" s="186" t="str">
        <f>IF(G58&lt;=0,"",IF(G58&lt;=2,"Muy Baja",IF(G58&lt;=24,"Baja",IF(G58&lt;=500,"Media",IF(G58&lt;=5000,"Alta","Muy Alta")))))</f>
        <v/>
      </c>
      <c r="I58" s="198" t="str">
        <f>IF(H58="","",IF(H58="Muy Baja",0.2,IF(H58="Baja",0.4,IF(H58="Media",0.6,IF(H58="Alta",0.8,IF(H58="Muy Alta",1,))))))</f>
        <v/>
      </c>
      <c r="J58" s="201"/>
      <c r="K58" s="198">
        <f>IF(NOT(ISERROR(MATCH(J58,'Tabla Impacto'!$B$221:$B$223,0))),'Tabla Impacto'!$F$223&amp;"Por favor no seleccionar los criterios de impacto(Afectación Económica o presupuestal y Pérdida Reputacional)",J58)</f>
        <v>0</v>
      </c>
      <c r="L58" s="186" t="str">
        <f>IF(OR(K58='Tabla Impacto'!$C$11,K58='Tabla Impacto'!$D$11),"Leve",IF(OR(K58='Tabla Impacto'!$C$12,K58='Tabla Impacto'!$D$12),"Menor",IF(OR(K58='Tabla Impacto'!$C$13,K58='Tabla Impacto'!$D$13),"Moderado",IF(OR(K58='Tabla Impacto'!$C$14,K58='Tabla Impacto'!$D$14),"Mayor",IF(OR(K58='Tabla Impacto'!$C$15,K58='Tabla Impacto'!$D$15),"Catastrófico","")))))</f>
        <v/>
      </c>
      <c r="M58" s="198" t="str">
        <f>IF(L58="","",IF(L58="Leve",0.2,IF(L58="Menor",0.4,IF(L58="Moderado",0.6,IF(L58="Mayor",0.8,IF(L58="Catastrófico",1,))))))</f>
        <v/>
      </c>
      <c r="N58" s="195"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2">
        <v>1</v>
      </c>
      <c r="P58" s="123"/>
      <c r="Q58" s="124" t="str">
        <f>IF(OR(R58="Preventivo",R58="Detectivo"),"Probabilidad",IF(R58="Correctivo","Impacto",""))</f>
        <v/>
      </c>
      <c r="R58" s="125"/>
      <c r="S58" s="125"/>
      <c r="T58" s="126" t="str">
        <f>IF(AND(R58="Preventivo",S58="Automático"),"50%",IF(AND(R58="Preventivo",S58="Manual"),"40%",IF(AND(R58="Detectivo",S58="Automático"),"40%",IF(AND(R58="Detectivo",S58="Manual"),"30%",IF(AND(R58="Correctivo",S58="Automático"),"35%",IF(AND(R58="Correctivo",S58="Manual"),"25%",""))))))</f>
        <v/>
      </c>
      <c r="U58" s="125"/>
      <c r="V58" s="125"/>
      <c r="W58" s="125"/>
      <c r="X58" s="127" t="str">
        <f>IFERROR(IF(Q58="Probabilidad",(I58-(+I58*T58)),IF(Q58="Impacto",I58,"")),"")</f>
        <v/>
      </c>
      <c r="Y58" s="128" t="str">
        <f>IFERROR(IF(X58="","",IF(X58&lt;=0.2,"Muy Baja",IF(X58&lt;=0.4,"Baja",IF(X58&lt;=0.6,"Media",IF(X58&lt;=0.8,"Alta","Muy Alta"))))),"")</f>
        <v/>
      </c>
      <c r="Z58" s="129" t="str">
        <f>+X58</f>
        <v/>
      </c>
      <c r="AA58" s="128" t="str">
        <f>IFERROR(IF(AB58="","",IF(AB58&lt;=0.2,"Leve",IF(AB58&lt;=0.4,"Menor",IF(AB58&lt;=0.6,"Moderado",IF(AB58&lt;=0.8,"Mayor","Catastrófico"))))),"")</f>
        <v/>
      </c>
      <c r="AB58" s="129" t="str">
        <f>IFERROR(IF(Q58="Impacto",(M58-(+M58*T58)),IF(Q58="Probabilidad",M58,"")),"")</f>
        <v/>
      </c>
      <c r="AC58" s="130"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1"/>
      <c r="AE58" s="132"/>
      <c r="AF58" s="133"/>
      <c r="AG58" s="134"/>
      <c r="AH58" s="134"/>
      <c r="AI58" s="132"/>
      <c r="AJ58" s="133"/>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row>
    <row r="59" spans="1:68" ht="60" customHeight="1">
      <c r="A59" s="190"/>
      <c r="B59" s="181"/>
      <c r="C59" s="181"/>
      <c r="D59" s="181"/>
      <c r="E59" s="193"/>
      <c r="F59" s="181"/>
      <c r="G59" s="184"/>
      <c r="H59" s="187"/>
      <c r="I59" s="199"/>
      <c r="J59" s="202"/>
      <c r="K59" s="199">
        <f>IF(NOT(ISERROR(MATCH(J59,_xlfn.ANCHORARRAY(E70),0))),I72&amp;"Por favor no seleccionar los criterios de impacto",J59)</f>
        <v>0</v>
      </c>
      <c r="L59" s="187"/>
      <c r="M59" s="199"/>
      <c r="N59" s="196"/>
      <c r="O59" s="122">
        <v>2</v>
      </c>
      <c r="P59" s="123"/>
      <c r="Q59" s="124" t="str">
        <f>IF(OR(R59="Preventivo",R59="Detectivo"),"Probabilidad",IF(R59="Correctivo","Impacto",""))</f>
        <v/>
      </c>
      <c r="R59" s="125"/>
      <c r="S59" s="125"/>
      <c r="T59" s="126" t="str">
        <f t="shared" ref="T59:T63" si="62">IF(AND(R59="Preventivo",S59="Automático"),"50%",IF(AND(R59="Preventivo",S59="Manual"),"40%",IF(AND(R59="Detectivo",S59="Automático"),"40%",IF(AND(R59="Detectivo",S59="Manual"),"30%",IF(AND(R59="Correctivo",S59="Automático"),"35%",IF(AND(R59="Correctivo",S59="Manual"),"25%",""))))))</f>
        <v/>
      </c>
      <c r="U59" s="125"/>
      <c r="V59" s="125"/>
      <c r="W59" s="125"/>
      <c r="X59" s="127" t="str">
        <f>IFERROR(IF(AND(Q58="Probabilidad",Q59="Probabilidad"),(Z58-(+Z58*T59)),IF(Q59="Probabilidad",(I58-(+I58*T59)),IF(Q59="Impacto",Z58,""))),"")</f>
        <v/>
      </c>
      <c r="Y59" s="128" t="str">
        <f t="shared" si="1"/>
        <v/>
      </c>
      <c r="Z59" s="129" t="str">
        <f t="shared" ref="Z59:Z63" si="63">+X59</f>
        <v/>
      </c>
      <c r="AA59" s="128" t="str">
        <f t="shared" si="3"/>
        <v/>
      </c>
      <c r="AB59" s="129" t="str">
        <f>IFERROR(IF(AND(Q58="Impacto",Q59="Impacto"),(AB58-(+AB58*T59)),IF(Q59="Impacto",(M58-(+M58*T59)),IF(Q59="Probabilidad",AB58,""))),"")</f>
        <v/>
      </c>
      <c r="AC59" s="130"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1"/>
      <c r="AE59" s="132"/>
      <c r="AF59" s="133"/>
      <c r="AG59" s="134"/>
      <c r="AH59" s="134"/>
      <c r="AI59" s="132"/>
      <c r="AJ59" s="133"/>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row>
    <row r="60" spans="1:68" ht="60" customHeight="1">
      <c r="A60" s="190"/>
      <c r="B60" s="181"/>
      <c r="C60" s="181"/>
      <c r="D60" s="181"/>
      <c r="E60" s="193"/>
      <c r="F60" s="181"/>
      <c r="G60" s="184"/>
      <c r="H60" s="187"/>
      <c r="I60" s="199"/>
      <c r="J60" s="202"/>
      <c r="K60" s="199">
        <f>IF(NOT(ISERROR(MATCH(J60,_xlfn.ANCHORARRAY(E71),0))),I73&amp;"Por favor no seleccionar los criterios de impacto",J60)</f>
        <v>0</v>
      </c>
      <c r="L60" s="187"/>
      <c r="M60" s="199"/>
      <c r="N60" s="196"/>
      <c r="O60" s="122">
        <v>3</v>
      </c>
      <c r="P60" s="135"/>
      <c r="Q60" s="124" t="str">
        <f>IF(OR(R60="Preventivo",R60="Detectivo"),"Probabilidad",IF(R60="Correctivo","Impacto",""))</f>
        <v/>
      </c>
      <c r="R60" s="125"/>
      <c r="S60" s="125"/>
      <c r="T60" s="126" t="str">
        <f t="shared" si="62"/>
        <v/>
      </c>
      <c r="U60" s="125"/>
      <c r="V60" s="125"/>
      <c r="W60" s="125"/>
      <c r="X60" s="127" t="str">
        <f>IFERROR(IF(AND(Q59="Probabilidad",Q60="Probabilidad"),(Z59-(+Z59*T60)),IF(AND(Q59="Impacto",Q60="Probabilidad"),(Z58-(+Z58*T60)),IF(Q60="Impacto",Z59,""))),"")</f>
        <v/>
      </c>
      <c r="Y60" s="128" t="str">
        <f t="shared" si="1"/>
        <v/>
      </c>
      <c r="Z60" s="129" t="str">
        <f t="shared" si="63"/>
        <v/>
      </c>
      <c r="AA60" s="128" t="str">
        <f t="shared" si="3"/>
        <v/>
      </c>
      <c r="AB60" s="129" t="str">
        <f>IFERROR(IF(AND(Q59="Impacto",Q60="Impacto"),(AB59-(+AB59*T60)),IF(AND(Q59="Probabilidad",Q60="Impacto"),(AB58-(+AB58*T60)),IF(Q60="Probabilidad",AB59,""))),"")</f>
        <v/>
      </c>
      <c r="AC60" s="130" t="str">
        <f t="shared" si="64"/>
        <v/>
      </c>
      <c r="AD60" s="131"/>
      <c r="AE60" s="132"/>
      <c r="AF60" s="133"/>
      <c r="AG60" s="134"/>
      <c r="AH60" s="134"/>
      <c r="AI60" s="132"/>
      <c r="AJ60" s="133"/>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68" ht="60" customHeight="1">
      <c r="A61" s="190"/>
      <c r="B61" s="181"/>
      <c r="C61" s="181"/>
      <c r="D61" s="181"/>
      <c r="E61" s="193"/>
      <c r="F61" s="181"/>
      <c r="G61" s="184"/>
      <c r="H61" s="187"/>
      <c r="I61" s="199"/>
      <c r="J61" s="202"/>
      <c r="K61" s="199">
        <f>IF(NOT(ISERROR(MATCH(J61,_xlfn.ANCHORARRAY(E72),0))),I74&amp;"Por favor no seleccionar los criterios de impacto",J61)</f>
        <v>0</v>
      </c>
      <c r="L61" s="187"/>
      <c r="M61" s="199"/>
      <c r="N61" s="196"/>
      <c r="O61" s="122">
        <v>4</v>
      </c>
      <c r="P61" s="123"/>
      <c r="Q61" s="124" t="str">
        <f t="shared" ref="Q61:Q63" si="65">IF(OR(R61="Preventivo",R61="Detectivo"),"Probabilidad",IF(R61="Correctivo","Impacto",""))</f>
        <v/>
      </c>
      <c r="R61" s="125"/>
      <c r="S61" s="125"/>
      <c r="T61" s="126" t="str">
        <f t="shared" si="62"/>
        <v/>
      </c>
      <c r="U61" s="125"/>
      <c r="V61" s="125"/>
      <c r="W61" s="125"/>
      <c r="X61" s="127" t="str">
        <f t="shared" ref="X61:X63" si="66">IFERROR(IF(AND(Q60="Probabilidad",Q61="Probabilidad"),(Z60-(+Z60*T61)),IF(AND(Q60="Impacto",Q61="Probabilidad"),(Z59-(+Z59*T61)),IF(Q61="Impacto",Z60,""))),"")</f>
        <v/>
      </c>
      <c r="Y61" s="128" t="str">
        <f t="shared" si="1"/>
        <v/>
      </c>
      <c r="Z61" s="129" t="str">
        <f t="shared" si="63"/>
        <v/>
      </c>
      <c r="AA61" s="128" t="str">
        <f t="shared" si="3"/>
        <v/>
      </c>
      <c r="AB61" s="129" t="str">
        <f t="shared" ref="AB61:AB63" si="67">IFERROR(IF(AND(Q60="Impacto",Q61="Impacto"),(AB60-(+AB60*T61)),IF(AND(Q60="Probabilidad",Q61="Impacto"),(AB59-(+AB59*T61)),IF(Q61="Probabilidad",AB60,""))),"")</f>
        <v/>
      </c>
      <c r="AC61" s="130"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1"/>
      <c r="AE61" s="132"/>
      <c r="AF61" s="133"/>
      <c r="AG61" s="134"/>
      <c r="AH61" s="134"/>
      <c r="AI61" s="132"/>
      <c r="AJ61" s="133"/>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row>
    <row r="62" spans="1:68" ht="60" customHeight="1">
      <c r="A62" s="190"/>
      <c r="B62" s="181"/>
      <c r="C62" s="181"/>
      <c r="D62" s="181"/>
      <c r="E62" s="193"/>
      <c r="F62" s="181"/>
      <c r="G62" s="184"/>
      <c r="H62" s="187"/>
      <c r="I62" s="199"/>
      <c r="J62" s="202"/>
      <c r="K62" s="199">
        <f>IF(NOT(ISERROR(MATCH(J62,_xlfn.ANCHORARRAY(E73),0))),I75&amp;"Por favor no seleccionar los criterios de impacto",J62)</f>
        <v>0</v>
      </c>
      <c r="L62" s="187"/>
      <c r="M62" s="199"/>
      <c r="N62" s="196"/>
      <c r="O62" s="122">
        <v>5</v>
      </c>
      <c r="P62" s="123"/>
      <c r="Q62" s="124" t="str">
        <f t="shared" si="65"/>
        <v/>
      </c>
      <c r="R62" s="125"/>
      <c r="S62" s="125"/>
      <c r="T62" s="126" t="str">
        <f t="shared" si="62"/>
        <v/>
      </c>
      <c r="U62" s="125"/>
      <c r="V62" s="125"/>
      <c r="W62" s="125"/>
      <c r="X62" s="127" t="str">
        <f t="shared" si="66"/>
        <v/>
      </c>
      <c r="Y62" s="128" t="str">
        <f t="shared" si="1"/>
        <v/>
      </c>
      <c r="Z62" s="129" t="str">
        <f t="shared" si="63"/>
        <v/>
      </c>
      <c r="AA62" s="128" t="str">
        <f t="shared" si="3"/>
        <v/>
      </c>
      <c r="AB62" s="129" t="str">
        <f t="shared" si="67"/>
        <v/>
      </c>
      <c r="AC62" s="130"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3"/>
      <c r="AG62" s="134"/>
      <c r="AH62" s="134"/>
      <c r="AI62" s="132"/>
      <c r="AJ62" s="133"/>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row>
    <row r="63" spans="1:68" ht="60" customHeight="1">
      <c r="A63" s="191"/>
      <c r="B63" s="182"/>
      <c r="C63" s="182"/>
      <c r="D63" s="182"/>
      <c r="E63" s="194"/>
      <c r="F63" s="182"/>
      <c r="G63" s="185"/>
      <c r="H63" s="188"/>
      <c r="I63" s="200"/>
      <c r="J63" s="203"/>
      <c r="K63" s="200">
        <f>IF(NOT(ISERROR(MATCH(J63,_xlfn.ANCHORARRAY(E74),0))),I76&amp;"Por favor no seleccionar los criterios de impacto",J63)</f>
        <v>0</v>
      </c>
      <c r="L63" s="188"/>
      <c r="M63" s="200"/>
      <c r="N63" s="197"/>
      <c r="O63" s="122">
        <v>6</v>
      </c>
      <c r="P63" s="123"/>
      <c r="Q63" s="124" t="str">
        <f t="shared" si="65"/>
        <v/>
      </c>
      <c r="R63" s="125"/>
      <c r="S63" s="125"/>
      <c r="T63" s="126" t="str">
        <f t="shared" si="62"/>
        <v/>
      </c>
      <c r="U63" s="125"/>
      <c r="V63" s="125"/>
      <c r="W63" s="125"/>
      <c r="X63" s="127" t="str">
        <f t="shared" si="66"/>
        <v/>
      </c>
      <c r="Y63" s="128" t="str">
        <f t="shared" si="1"/>
        <v/>
      </c>
      <c r="Z63" s="129" t="str">
        <f t="shared" si="63"/>
        <v/>
      </c>
      <c r="AA63" s="128" t="str">
        <f t="shared" si="3"/>
        <v/>
      </c>
      <c r="AB63" s="129" t="str">
        <f t="shared" si="67"/>
        <v/>
      </c>
      <c r="AC63" s="130" t="str">
        <f t="shared" si="68"/>
        <v/>
      </c>
      <c r="AD63" s="131"/>
      <c r="AE63" s="132"/>
      <c r="AF63" s="133"/>
      <c r="AG63" s="134"/>
      <c r="AH63" s="134"/>
      <c r="AI63" s="132"/>
      <c r="AJ63" s="133"/>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row>
    <row r="64" spans="1:68" ht="60" customHeight="1">
      <c r="A64" s="189">
        <v>10</v>
      </c>
      <c r="B64" s="180"/>
      <c r="C64" s="180"/>
      <c r="D64" s="180"/>
      <c r="E64" s="192"/>
      <c r="F64" s="180"/>
      <c r="G64" s="183"/>
      <c r="H64" s="186" t="str">
        <f>IF(G64&lt;=0,"",IF(G64&lt;=2,"Muy Baja",IF(G64&lt;=24,"Baja",IF(G64&lt;=500,"Media",IF(G64&lt;=5000,"Alta","Muy Alta")))))</f>
        <v/>
      </c>
      <c r="I64" s="198" t="str">
        <f>IF(H64="","",IF(H64="Muy Baja",0.2,IF(H64="Baja",0.4,IF(H64="Media",0.6,IF(H64="Alta",0.8,IF(H64="Muy Alta",1,))))))</f>
        <v/>
      </c>
      <c r="J64" s="201"/>
      <c r="K64" s="198">
        <f>IF(NOT(ISERROR(MATCH(J64,'Tabla Impacto'!$B$221:$B$223,0))),'Tabla Impacto'!$F$223&amp;"Por favor no seleccionar los criterios de impacto(Afectación Económica o presupuestal y Pérdida Reputacional)",J64)</f>
        <v>0</v>
      </c>
      <c r="L64" s="186" t="str">
        <f>IF(OR(K64='Tabla Impacto'!$C$11,K64='Tabla Impacto'!$D$11),"Leve",IF(OR(K64='Tabla Impacto'!$C$12,K64='Tabla Impacto'!$D$12),"Menor",IF(OR(K64='Tabla Impacto'!$C$13,K64='Tabla Impacto'!$D$13),"Moderado",IF(OR(K64='Tabla Impacto'!$C$14,K64='Tabla Impacto'!$D$14),"Mayor",IF(OR(K64='Tabla Impacto'!$C$15,K64='Tabla Impacto'!$D$15),"Catastrófico","")))))</f>
        <v/>
      </c>
      <c r="M64" s="198" t="str">
        <f>IF(L64="","",IF(L64="Leve",0.2,IF(L64="Menor",0.4,IF(L64="Moderado",0.6,IF(L64="Mayor",0.8,IF(L64="Catastrófico",1,))))))</f>
        <v/>
      </c>
      <c r="N64" s="195"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2">
        <v>1</v>
      </c>
      <c r="P64" s="123"/>
      <c r="Q64" s="124" t="str">
        <f>IF(OR(R64="Preventivo",R64="Detectivo"),"Probabilidad",IF(R64="Correctivo","Impacto",""))</f>
        <v/>
      </c>
      <c r="R64" s="125"/>
      <c r="S64" s="125"/>
      <c r="T64" s="126" t="str">
        <f>IF(AND(R64="Preventivo",S64="Automático"),"50%",IF(AND(R64="Preventivo",S64="Manual"),"40%",IF(AND(R64="Detectivo",S64="Automático"),"40%",IF(AND(R64="Detectivo",S64="Manual"),"30%",IF(AND(R64="Correctivo",S64="Automático"),"35%",IF(AND(R64="Correctivo",S64="Manual"),"25%",""))))))</f>
        <v/>
      </c>
      <c r="U64" s="125"/>
      <c r="V64" s="125"/>
      <c r="W64" s="125"/>
      <c r="X64" s="127" t="str">
        <f>IFERROR(IF(Q64="Probabilidad",(I64-(+I64*T64)),IF(Q64="Impacto",I64,"")),"")</f>
        <v/>
      </c>
      <c r="Y64" s="128" t="str">
        <f>IFERROR(IF(X64="","",IF(X64&lt;=0.2,"Muy Baja",IF(X64&lt;=0.4,"Baja",IF(X64&lt;=0.6,"Media",IF(X64&lt;=0.8,"Alta","Muy Alta"))))),"")</f>
        <v/>
      </c>
      <c r="Z64" s="129" t="str">
        <f>+X64</f>
        <v/>
      </c>
      <c r="AA64" s="128" t="str">
        <f>IFERROR(IF(AB64="","",IF(AB64&lt;=0.2,"Leve",IF(AB64&lt;=0.4,"Menor",IF(AB64&lt;=0.6,"Moderado",IF(AB64&lt;=0.8,"Mayor","Catastrófico"))))),"")</f>
        <v/>
      </c>
      <c r="AB64" s="129" t="str">
        <f>IFERROR(IF(Q64="Impacto",(M64-(+M64*T64)),IF(Q64="Probabilidad",M64,"")),"")</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3"/>
      <c r="AG64" s="134"/>
      <c r="AH64" s="134"/>
      <c r="AI64" s="132"/>
      <c r="AJ64" s="133"/>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row>
    <row r="65" spans="1:36" ht="60" customHeight="1">
      <c r="A65" s="190"/>
      <c r="B65" s="181"/>
      <c r="C65" s="181"/>
      <c r="D65" s="181"/>
      <c r="E65" s="193"/>
      <c r="F65" s="181"/>
      <c r="G65" s="184"/>
      <c r="H65" s="187"/>
      <c r="I65" s="199"/>
      <c r="J65" s="202"/>
      <c r="K65" s="199">
        <f>IF(NOT(ISERROR(MATCH(J65,_xlfn.ANCHORARRAY(E76),0))),I78&amp;"Por favor no seleccionar los criterios de impacto",J65)</f>
        <v>0</v>
      </c>
      <c r="L65" s="187"/>
      <c r="M65" s="199"/>
      <c r="N65" s="196"/>
      <c r="O65" s="122">
        <v>2</v>
      </c>
      <c r="P65" s="123"/>
      <c r="Q65" s="124" t="str">
        <f>IF(OR(R65="Preventivo",R65="Detectivo"),"Probabilidad",IF(R65="Correctivo","Impacto",""))</f>
        <v/>
      </c>
      <c r="R65" s="125"/>
      <c r="S65" s="125"/>
      <c r="T65" s="126" t="str">
        <f t="shared" ref="T65:T69" si="69">IF(AND(R65="Preventivo",S65="Automático"),"50%",IF(AND(R65="Preventivo",S65="Manual"),"40%",IF(AND(R65="Detectivo",S65="Automático"),"40%",IF(AND(R65="Detectivo",S65="Manual"),"30%",IF(AND(R65="Correctivo",S65="Automático"),"35%",IF(AND(R65="Correctivo",S65="Manual"),"25%",""))))))</f>
        <v/>
      </c>
      <c r="U65" s="125"/>
      <c r="V65" s="125"/>
      <c r="W65" s="125"/>
      <c r="X65" s="127" t="str">
        <f>IFERROR(IF(AND(Q64="Probabilidad",Q65="Probabilidad"),(Z64-(+Z64*T65)),IF(Q65="Probabilidad",(I64-(+I64*T65)),IF(Q65="Impacto",Z64,""))),"")</f>
        <v/>
      </c>
      <c r="Y65" s="128" t="str">
        <f t="shared" si="1"/>
        <v/>
      </c>
      <c r="Z65" s="129" t="str">
        <f t="shared" ref="Z65:Z69" si="70">+X65</f>
        <v/>
      </c>
      <c r="AA65" s="128" t="str">
        <f t="shared" si="3"/>
        <v/>
      </c>
      <c r="AB65" s="129" t="str">
        <f>IFERROR(IF(AND(Q64="Impacto",Q65="Impacto"),(AB64-(+AB64*T65)),IF(Q65="Impacto",(M64-(+M64*T65)),IF(Q65="Probabilidad",AB64,""))),"")</f>
        <v/>
      </c>
      <c r="AC65" s="130"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3"/>
      <c r="AG65" s="134"/>
      <c r="AH65" s="134"/>
      <c r="AI65" s="132"/>
      <c r="AJ65" s="133"/>
    </row>
    <row r="66" spans="1:36" ht="60" customHeight="1">
      <c r="A66" s="190"/>
      <c r="B66" s="181"/>
      <c r="C66" s="181"/>
      <c r="D66" s="181"/>
      <c r="E66" s="193"/>
      <c r="F66" s="181"/>
      <c r="G66" s="184"/>
      <c r="H66" s="187"/>
      <c r="I66" s="199"/>
      <c r="J66" s="202"/>
      <c r="K66" s="199">
        <f>IF(NOT(ISERROR(MATCH(J66,_xlfn.ANCHORARRAY(E77),0))),I79&amp;"Por favor no seleccionar los criterios de impacto",J66)</f>
        <v>0</v>
      </c>
      <c r="L66" s="187"/>
      <c r="M66" s="199"/>
      <c r="N66" s="196"/>
      <c r="O66" s="122">
        <v>3</v>
      </c>
      <c r="P66" s="135"/>
      <c r="Q66" s="124" t="str">
        <f>IF(OR(R66="Preventivo",R66="Detectivo"),"Probabilidad",IF(R66="Correctivo","Impacto",""))</f>
        <v/>
      </c>
      <c r="R66" s="125"/>
      <c r="S66" s="125"/>
      <c r="T66" s="126" t="str">
        <f t="shared" si="69"/>
        <v/>
      </c>
      <c r="U66" s="125"/>
      <c r="V66" s="125"/>
      <c r="W66" s="125"/>
      <c r="X66" s="127" t="str">
        <f>IFERROR(IF(AND(Q65="Probabilidad",Q66="Probabilidad"),(Z65-(+Z65*T66)),IF(AND(Q65="Impacto",Q66="Probabilidad"),(Z64-(+Z64*T66)),IF(Q66="Impacto",Z65,""))),"")</f>
        <v/>
      </c>
      <c r="Y66" s="128" t="str">
        <f t="shared" si="1"/>
        <v/>
      </c>
      <c r="Z66" s="129" t="str">
        <f t="shared" si="70"/>
        <v/>
      </c>
      <c r="AA66" s="128" t="str">
        <f t="shared" si="3"/>
        <v/>
      </c>
      <c r="AB66" s="129" t="str">
        <f>IFERROR(IF(AND(Q65="Impacto",Q66="Impacto"),(AB65-(+AB65*T66)),IF(AND(Q65="Probabilidad",Q66="Impacto"),(AB64-(+AB64*T66)),IF(Q66="Probabilidad",AB65,""))),"")</f>
        <v/>
      </c>
      <c r="AC66" s="130" t="str">
        <f t="shared" si="71"/>
        <v/>
      </c>
      <c r="AD66" s="131"/>
      <c r="AE66" s="132"/>
      <c r="AF66" s="133"/>
      <c r="AG66" s="134"/>
      <c r="AH66" s="134"/>
      <c r="AI66" s="132"/>
      <c r="AJ66" s="133"/>
    </row>
    <row r="67" spans="1:36" ht="60" customHeight="1">
      <c r="A67" s="190"/>
      <c r="B67" s="181"/>
      <c r="C67" s="181"/>
      <c r="D67" s="181"/>
      <c r="E67" s="193"/>
      <c r="F67" s="181"/>
      <c r="G67" s="184"/>
      <c r="H67" s="187"/>
      <c r="I67" s="199"/>
      <c r="J67" s="202"/>
      <c r="K67" s="199">
        <f>IF(NOT(ISERROR(MATCH(J67,_xlfn.ANCHORARRAY(E78),0))),I80&amp;"Por favor no seleccionar los criterios de impacto",J67)</f>
        <v>0</v>
      </c>
      <c r="L67" s="187"/>
      <c r="M67" s="199"/>
      <c r="N67" s="196"/>
      <c r="O67" s="122">
        <v>4</v>
      </c>
      <c r="P67" s="123"/>
      <c r="Q67" s="124" t="str">
        <f t="shared" ref="Q67:Q69" si="72">IF(OR(R67="Preventivo",R67="Detectivo"),"Probabilidad",IF(R67="Correctivo","Impacto",""))</f>
        <v/>
      </c>
      <c r="R67" s="125"/>
      <c r="S67" s="125"/>
      <c r="T67" s="126" t="str">
        <f t="shared" si="69"/>
        <v/>
      </c>
      <c r="U67" s="125"/>
      <c r="V67" s="125"/>
      <c r="W67" s="125"/>
      <c r="X67" s="127" t="str">
        <f t="shared" ref="X67:X69" si="73">IFERROR(IF(AND(Q66="Probabilidad",Q67="Probabilidad"),(Z66-(+Z66*T67)),IF(AND(Q66="Impacto",Q67="Probabilidad"),(Z65-(+Z65*T67)),IF(Q67="Impacto",Z66,""))),"")</f>
        <v/>
      </c>
      <c r="Y67" s="128" t="str">
        <f t="shared" si="1"/>
        <v/>
      </c>
      <c r="Z67" s="129" t="str">
        <f t="shared" si="70"/>
        <v/>
      </c>
      <c r="AA67" s="128" t="str">
        <f t="shared" si="3"/>
        <v/>
      </c>
      <c r="AB67" s="129" t="str">
        <f t="shared" ref="AB67:AB69" si="74">IFERROR(IF(AND(Q66="Impacto",Q67="Impacto"),(AB66-(+AB66*T67)),IF(AND(Q66="Probabilidad",Q67="Impacto"),(AB65-(+AB65*T67)),IF(Q67="Probabilidad",AB66,""))),"")</f>
        <v/>
      </c>
      <c r="AC67" s="130"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1"/>
      <c r="AE67" s="132"/>
      <c r="AF67" s="133"/>
      <c r="AG67" s="134"/>
      <c r="AH67" s="134"/>
      <c r="AI67" s="132"/>
      <c r="AJ67" s="133"/>
    </row>
    <row r="68" spans="1:36" ht="60" customHeight="1">
      <c r="A68" s="190"/>
      <c r="B68" s="181"/>
      <c r="C68" s="181"/>
      <c r="D68" s="181"/>
      <c r="E68" s="193"/>
      <c r="F68" s="181"/>
      <c r="G68" s="184"/>
      <c r="H68" s="187"/>
      <c r="I68" s="199"/>
      <c r="J68" s="202"/>
      <c r="K68" s="199">
        <f>IF(NOT(ISERROR(MATCH(J68,_xlfn.ANCHORARRAY(E79),0))),I81&amp;"Por favor no seleccionar los criterios de impacto",J68)</f>
        <v>0</v>
      </c>
      <c r="L68" s="187"/>
      <c r="M68" s="199"/>
      <c r="N68" s="196"/>
      <c r="O68" s="122">
        <v>5</v>
      </c>
      <c r="P68" s="123"/>
      <c r="Q68" s="124" t="str">
        <f t="shared" si="72"/>
        <v/>
      </c>
      <c r="R68" s="125"/>
      <c r="S68" s="125"/>
      <c r="T68" s="126" t="str">
        <f t="shared" si="69"/>
        <v/>
      </c>
      <c r="U68" s="125"/>
      <c r="V68" s="125"/>
      <c r="W68" s="125"/>
      <c r="X68" s="127" t="str">
        <f t="shared" si="73"/>
        <v/>
      </c>
      <c r="Y68" s="128" t="str">
        <f t="shared" si="1"/>
        <v/>
      </c>
      <c r="Z68" s="129" t="str">
        <f t="shared" si="70"/>
        <v/>
      </c>
      <c r="AA68" s="128" t="str">
        <f t="shared" si="3"/>
        <v/>
      </c>
      <c r="AB68" s="129" t="str">
        <f t="shared" si="74"/>
        <v/>
      </c>
      <c r="AC68" s="130"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1"/>
      <c r="AE68" s="132"/>
      <c r="AF68" s="133"/>
      <c r="AG68" s="134"/>
      <c r="AH68" s="134"/>
      <c r="AI68" s="132"/>
      <c r="AJ68" s="133"/>
    </row>
    <row r="69" spans="1:36" ht="60" customHeight="1">
      <c r="A69" s="191"/>
      <c r="B69" s="182"/>
      <c r="C69" s="182"/>
      <c r="D69" s="182"/>
      <c r="E69" s="194"/>
      <c r="F69" s="182"/>
      <c r="G69" s="185"/>
      <c r="H69" s="188"/>
      <c r="I69" s="200"/>
      <c r="J69" s="203"/>
      <c r="K69" s="200">
        <f>IF(NOT(ISERROR(MATCH(J69,_xlfn.ANCHORARRAY(E80),0))),I82&amp;"Por favor no seleccionar los criterios de impacto",J69)</f>
        <v>0</v>
      </c>
      <c r="L69" s="188"/>
      <c r="M69" s="200"/>
      <c r="N69" s="197"/>
      <c r="O69" s="122">
        <v>6</v>
      </c>
      <c r="P69" s="123"/>
      <c r="Q69" s="124" t="str">
        <f t="shared" si="72"/>
        <v/>
      </c>
      <c r="R69" s="125"/>
      <c r="S69" s="125"/>
      <c r="T69" s="126" t="str">
        <f t="shared" si="69"/>
        <v/>
      </c>
      <c r="U69" s="125"/>
      <c r="V69" s="125"/>
      <c r="W69" s="125"/>
      <c r="X69" s="127" t="str">
        <f t="shared" si="73"/>
        <v/>
      </c>
      <c r="Y69" s="128" t="str">
        <f t="shared" si="1"/>
        <v/>
      </c>
      <c r="Z69" s="129" t="str">
        <f t="shared" si="70"/>
        <v/>
      </c>
      <c r="AA69" s="128" t="str">
        <f t="shared" si="3"/>
        <v/>
      </c>
      <c r="AB69" s="129" t="str">
        <f t="shared" si="74"/>
        <v/>
      </c>
      <c r="AC69" s="130" t="str">
        <f t="shared" si="75"/>
        <v/>
      </c>
      <c r="AD69" s="131"/>
      <c r="AE69" s="132"/>
      <c r="AF69" s="133"/>
      <c r="AG69" s="134"/>
      <c r="AH69" s="134"/>
      <c r="AI69" s="132"/>
      <c r="AJ69" s="133"/>
    </row>
    <row r="70" spans="1:36" ht="49.5" customHeight="1">
      <c r="A70" s="6"/>
      <c r="B70" s="237" t="s">
        <v>163</v>
      </c>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9"/>
    </row>
    <row r="72" spans="1:36">
      <c r="A72" s="1"/>
      <c r="B72" s="23" t="s">
        <v>164</v>
      </c>
      <c r="C72" s="1"/>
      <c r="D72" s="1"/>
      <c r="F72" s="1"/>
    </row>
  </sheetData>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E10:E15"/>
    <mergeCell ref="N10:N15"/>
    <mergeCell ref="I10:I15"/>
    <mergeCell ref="J10:J15"/>
    <mergeCell ref="K10:K15"/>
    <mergeCell ref="L10:L15"/>
    <mergeCell ref="M10:M15"/>
    <mergeCell ref="C10:C15"/>
    <mergeCell ref="D10:D15"/>
  </mergeCells>
  <conditionalFormatting sqref="H10 H16">
    <cfRule type="cellIs" dxfId="108" priority="319" operator="equal">
      <formula>"Muy Alta"</formula>
    </cfRule>
    <cfRule type="cellIs" dxfId="107" priority="320" operator="equal">
      <formula>"Alta"</formula>
    </cfRule>
    <cfRule type="cellIs" dxfId="106" priority="321" operator="equal">
      <formula>"Media"</formula>
    </cfRule>
    <cfRule type="cellIs" dxfId="105" priority="322" operator="equal">
      <formula>"Baja"</formula>
    </cfRule>
    <cfRule type="cellIs" dxfId="104" priority="323" operator="equal">
      <formula>"Muy Baja"</formula>
    </cfRule>
  </conditionalFormatting>
  <conditionalFormatting sqref="H22">
    <cfRule type="cellIs" dxfId="103" priority="221" operator="equal">
      <formula>"Muy Alta"</formula>
    </cfRule>
    <cfRule type="cellIs" dxfId="102" priority="222" operator="equal">
      <formula>"Alta"</formula>
    </cfRule>
    <cfRule type="cellIs" dxfId="101" priority="223" operator="equal">
      <formula>"Media"</formula>
    </cfRule>
    <cfRule type="cellIs" dxfId="100" priority="224" operator="equal">
      <formula>"Baja"</formula>
    </cfRule>
    <cfRule type="cellIs" dxfId="99" priority="225" operator="equal">
      <formula>"Muy Baja"</formula>
    </cfRule>
  </conditionalFormatting>
  <conditionalFormatting sqref="H28">
    <cfRule type="cellIs" dxfId="98" priority="193" operator="equal">
      <formula>"Muy Alta"</formula>
    </cfRule>
    <cfRule type="cellIs" dxfId="97" priority="194" operator="equal">
      <formula>"Alta"</formula>
    </cfRule>
    <cfRule type="cellIs" dxfId="96" priority="195" operator="equal">
      <formula>"Media"</formula>
    </cfRule>
    <cfRule type="cellIs" dxfId="95" priority="196" operator="equal">
      <formula>"Baja"</formula>
    </cfRule>
    <cfRule type="cellIs" dxfId="94" priority="197" operator="equal">
      <formula>"Muy Baja"</formula>
    </cfRule>
  </conditionalFormatting>
  <conditionalFormatting sqref="H34">
    <cfRule type="cellIs" dxfId="93" priority="165" operator="equal">
      <formula>"Muy Alta"</formula>
    </cfRule>
    <cfRule type="cellIs" dxfId="92" priority="166" operator="equal">
      <formula>"Alta"</formula>
    </cfRule>
    <cfRule type="cellIs" dxfId="91" priority="167" operator="equal">
      <formula>"Media"</formula>
    </cfRule>
    <cfRule type="cellIs" dxfId="90" priority="168" operator="equal">
      <formula>"Baja"</formula>
    </cfRule>
    <cfRule type="cellIs" dxfId="89" priority="169" operator="equal">
      <formula>"Muy Baja"</formula>
    </cfRule>
  </conditionalFormatting>
  <conditionalFormatting sqref="H40">
    <cfRule type="cellIs" dxfId="88" priority="137" operator="equal">
      <formula>"Muy Alta"</formula>
    </cfRule>
    <cfRule type="cellIs" dxfId="87" priority="138" operator="equal">
      <formula>"Alta"</formula>
    </cfRule>
    <cfRule type="cellIs" dxfId="86" priority="139" operator="equal">
      <formula>"Media"</formula>
    </cfRule>
    <cfRule type="cellIs" dxfId="85" priority="140" operator="equal">
      <formula>"Baja"</formula>
    </cfRule>
    <cfRule type="cellIs" dxfId="84" priority="141" operator="equal">
      <formula>"Muy Baja"</formula>
    </cfRule>
  </conditionalFormatting>
  <conditionalFormatting sqref="H46">
    <cfRule type="cellIs" dxfId="83" priority="109" operator="equal">
      <formula>"Muy Alta"</formula>
    </cfRule>
    <cfRule type="cellIs" dxfId="82" priority="110" operator="equal">
      <formula>"Alta"</formula>
    </cfRule>
    <cfRule type="cellIs" dxfId="81" priority="111" operator="equal">
      <formula>"Media"</formula>
    </cfRule>
    <cfRule type="cellIs" dxfId="80" priority="112" operator="equal">
      <formula>"Baja"</formula>
    </cfRule>
    <cfRule type="cellIs" dxfId="79" priority="113" operator="equal">
      <formula>"Muy Baja"</formula>
    </cfRule>
  </conditionalFormatting>
  <conditionalFormatting sqref="H52">
    <cfRule type="cellIs" dxfId="78" priority="81" operator="equal">
      <formula>"Muy Alta"</formula>
    </cfRule>
    <cfRule type="cellIs" dxfId="77" priority="82" operator="equal">
      <formula>"Alta"</formula>
    </cfRule>
    <cfRule type="cellIs" dxfId="76" priority="83" operator="equal">
      <formula>"Media"</formula>
    </cfRule>
    <cfRule type="cellIs" dxfId="75" priority="84" operator="equal">
      <formula>"Baja"</formula>
    </cfRule>
    <cfRule type="cellIs" dxfId="74" priority="85" operator="equal">
      <formula>"Muy Baja"</formula>
    </cfRule>
  </conditionalFormatting>
  <conditionalFormatting sqref="H58">
    <cfRule type="cellIs" dxfId="73" priority="53" operator="equal">
      <formula>"Muy Alta"</formula>
    </cfRule>
    <cfRule type="cellIs" dxfId="72" priority="54" operator="equal">
      <formula>"Alta"</formula>
    </cfRule>
    <cfRule type="cellIs" dxfId="71" priority="55" operator="equal">
      <formula>"Media"</formula>
    </cfRule>
    <cfRule type="cellIs" dxfId="70" priority="56" operator="equal">
      <formula>"Baja"</formula>
    </cfRule>
    <cfRule type="cellIs" dxfId="69" priority="57" operator="equal">
      <formula>"Muy Baja"</formula>
    </cfRule>
  </conditionalFormatting>
  <conditionalFormatting sqref="H64">
    <cfRule type="cellIs" dxfId="68" priority="25" operator="equal">
      <formula>"Muy Alta"</formula>
    </cfRule>
    <cfRule type="cellIs" dxfId="67" priority="26" operator="equal">
      <formula>"Alta"</formula>
    </cfRule>
    <cfRule type="cellIs" dxfId="66" priority="27" operator="equal">
      <formula>"Media"</formula>
    </cfRule>
    <cfRule type="cellIs" dxfId="65" priority="28" operator="equal">
      <formula>"Baja"</formula>
    </cfRule>
    <cfRule type="cellIs" dxfId="64" priority="29" operator="equal">
      <formula>"Muy Baja"</formula>
    </cfRule>
  </conditionalFormatting>
  <conditionalFormatting sqref="K10:K69">
    <cfRule type="containsText" dxfId="63" priority="1" operator="containsText" text="❌">
      <formula>NOT(ISERROR(SEARCH("❌",K10)))</formula>
    </cfRule>
  </conditionalFormatting>
  <conditionalFormatting sqref="L10 L16 L22 L28 L34 L40 L46 L52 L58 L64">
    <cfRule type="cellIs" dxfId="62" priority="314" operator="equal">
      <formula>"Catastrófico"</formula>
    </cfRule>
    <cfRule type="cellIs" dxfId="61" priority="315" operator="equal">
      <formula>"Mayor"</formula>
    </cfRule>
    <cfRule type="cellIs" dxfId="60" priority="316" operator="equal">
      <formula>"Moderado"</formula>
    </cfRule>
    <cfRule type="cellIs" dxfId="59" priority="317" operator="equal">
      <formula>"Menor"</formula>
    </cfRule>
    <cfRule type="cellIs" dxfId="58" priority="318" operator="equal">
      <formula>"Leve"</formula>
    </cfRule>
  </conditionalFormatting>
  <conditionalFormatting sqref="N10">
    <cfRule type="cellIs" dxfId="57" priority="310" operator="equal">
      <formula>"Extremo"</formula>
    </cfRule>
    <cfRule type="cellIs" dxfId="56" priority="311" operator="equal">
      <formula>"Alto"</formula>
    </cfRule>
    <cfRule type="cellIs" dxfId="55" priority="312" operator="equal">
      <formula>"Moderado"</formula>
    </cfRule>
    <cfRule type="cellIs" dxfId="54" priority="313" operator="equal">
      <formula>"Bajo"</formula>
    </cfRule>
  </conditionalFormatting>
  <conditionalFormatting sqref="N16">
    <cfRule type="cellIs" dxfId="53" priority="240" operator="equal">
      <formula>"Extremo"</formula>
    </cfRule>
    <cfRule type="cellIs" dxfId="52" priority="241" operator="equal">
      <formula>"Alto"</formula>
    </cfRule>
    <cfRule type="cellIs" dxfId="51" priority="242" operator="equal">
      <formula>"Moderado"</formula>
    </cfRule>
    <cfRule type="cellIs" dxfId="50" priority="243" operator="equal">
      <formula>"Bajo"</formula>
    </cfRule>
  </conditionalFormatting>
  <conditionalFormatting sqref="N22">
    <cfRule type="cellIs" dxfId="49" priority="212" operator="equal">
      <formula>"Extremo"</formula>
    </cfRule>
    <cfRule type="cellIs" dxfId="48" priority="213" operator="equal">
      <formula>"Alto"</formula>
    </cfRule>
    <cfRule type="cellIs" dxfId="47" priority="214" operator="equal">
      <formula>"Moderado"</formula>
    </cfRule>
    <cfRule type="cellIs" dxfId="46" priority="215" operator="equal">
      <formula>"Bajo"</formula>
    </cfRule>
  </conditionalFormatting>
  <conditionalFormatting sqref="N28">
    <cfRule type="cellIs" dxfId="45" priority="184" operator="equal">
      <formula>"Extremo"</formula>
    </cfRule>
    <cfRule type="cellIs" dxfId="44" priority="185" operator="equal">
      <formula>"Alto"</formula>
    </cfRule>
    <cfRule type="cellIs" dxfId="43" priority="186" operator="equal">
      <formula>"Moderado"</formula>
    </cfRule>
    <cfRule type="cellIs" dxfId="42" priority="187" operator="equal">
      <formula>"Bajo"</formula>
    </cfRule>
  </conditionalFormatting>
  <conditionalFormatting sqref="N34">
    <cfRule type="cellIs" dxfId="41" priority="156" operator="equal">
      <formula>"Extremo"</formula>
    </cfRule>
    <cfRule type="cellIs" dxfId="40" priority="157" operator="equal">
      <formula>"Alto"</formula>
    </cfRule>
    <cfRule type="cellIs" dxfId="39" priority="158" operator="equal">
      <formula>"Moderado"</formula>
    </cfRule>
    <cfRule type="cellIs" dxfId="38" priority="159" operator="equal">
      <formula>"Bajo"</formula>
    </cfRule>
  </conditionalFormatting>
  <conditionalFormatting sqref="N40">
    <cfRule type="cellIs" dxfId="37" priority="128" operator="equal">
      <formula>"Extremo"</formula>
    </cfRule>
    <cfRule type="cellIs" dxfId="36" priority="129" operator="equal">
      <formula>"Alto"</formula>
    </cfRule>
    <cfRule type="cellIs" dxfId="35" priority="130" operator="equal">
      <formula>"Moderado"</formula>
    </cfRule>
    <cfRule type="cellIs" dxfId="34" priority="131" operator="equal">
      <formula>"Bajo"</formula>
    </cfRule>
  </conditionalFormatting>
  <conditionalFormatting sqref="N46">
    <cfRule type="cellIs" dxfId="33" priority="100" operator="equal">
      <formula>"Extremo"</formula>
    </cfRule>
    <cfRule type="cellIs" dxfId="32" priority="101" operator="equal">
      <formula>"Alto"</formula>
    </cfRule>
    <cfRule type="cellIs" dxfId="31" priority="102" operator="equal">
      <formula>"Moderado"</formula>
    </cfRule>
    <cfRule type="cellIs" dxfId="30" priority="103" operator="equal">
      <formula>"Bajo"</formula>
    </cfRule>
  </conditionalFormatting>
  <conditionalFormatting sqref="N52">
    <cfRule type="cellIs" dxfId="29" priority="72" operator="equal">
      <formula>"Extremo"</formula>
    </cfRule>
    <cfRule type="cellIs" dxfId="28" priority="73" operator="equal">
      <formula>"Alto"</formula>
    </cfRule>
    <cfRule type="cellIs" dxfId="27" priority="74" operator="equal">
      <formula>"Moderado"</formula>
    </cfRule>
    <cfRule type="cellIs" dxfId="26" priority="75" operator="equal">
      <formula>"Bajo"</formula>
    </cfRule>
  </conditionalFormatting>
  <conditionalFormatting sqref="N58">
    <cfRule type="cellIs" dxfId="25" priority="44" operator="equal">
      <formula>"Extremo"</formula>
    </cfRule>
    <cfRule type="cellIs" dxfId="24" priority="45" operator="equal">
      <formula>"Alto"</formula>
    </cfRule>
    <cfRule type="cellIs" dxfId="23" priority="46" operator="equal">
      <formula>"Moderado"</formula>
    </cfRule>
    <cfRule type="cellIs" dxfId="22" priority="47" operator="equal">
      <formula>"Bajo"</formula>
    </cfRule>
  </conditionalFormatting>
  <conditionalFormatting sqref="N64">
    <cfRule type="cellIs" dxfId="21" priority="16" operator="equal">
      <formula>"Extremo"</formula>
    </cfRule>
    <cfRule type="cellIs" dxfId="20" priority="17" operator="equal">
      <formula>"Alto"</formula>
    </cfRule>
    <cfRule type="cellIs" dxfId="19" priority="18" operator="equal">
      <formula>"Moderado"</formula>
    </cfRule>
    <cfRule type="cellIs" dxfId="18" priority="19" operator="equal">
      <formula>"Bajo"</formula>
    </cfRule>
  </conditionalFormatting>
  <conditionalFormatting sqref="Y10:Y69">
    <cfRule type="cellIs" dxfId="17" priority="11" operator="equal">
      <formula>"Muy Alta"</formula>
    </cfRule>
    <cfRule type="cellIs" dxfId="16" priority="12" operator="equal">
      <formula>"Alta"</formula>
    </cfRule>
    <cfRule type="cellIs" dxfId="15" priority="13" operator="equal">
      <formula>"Media"</formula>
    </cfRule>
    <cfRule type="cellIs" dxfId="14" priority="14" operator="equal">
      <formula>"Baja"</formula>
    </cfRule>
    <cfRule type="cellIs" dxfId="13" priority="15" operator="equal">
      <formula>"Muy Baja"</formula>
    </cfRule>
  </conditionalFormatting>
  <conditionalFormatting sqref="AA10:AA69">
    <cfRule type="cellIs" dxfId="12" priority="6" operator="equal">
      <formula>"Catastrófico"</formula>
    </cfRule>
    <cfRule type="cellIs" dxfId="11" priority="7" operator="equal">
      <formula>"Mayor"</formula>
    </cfRule>
    <cfRule type="cellIs" dxfId="10" priority="8" operator="equal">
      <formula>"Moderado"</formula>
    </cfRule>
    <cfRule type="cellIs" dxfId="9" priority="9" operator="equal">
      <formula>"Menor"</formula>
    </cfRule>
    <cfRule type="cellIs" dxfId="8" priority="10" operator="equal">
      <formula>"Leve"</formula>
    </cfRule>
  </conditionalFormatting>
  <conditionalFormatting sqref="AC10:AC69">
    <cfRule type="cellIs" dxfId="7" priority="2" operator="equal">
      <formula>"Extremo"</formula>
    </cfRule>
    <cfRule type="cellIs" dxfId="6" priority="3" operator="equal">
      <formula>"Alto"</formula>
    </cfRule>
    <cfRule type="cellIs" dxfId="5" priority="4" operator="equal">
      <formula>"Moderado"</formula>
    </cfRule>
    <cfRule type="cellIs" dxfId="4" priority="5" operator="equal">
      <formula>"Bajo"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AJ22:AJ26 AJ67:AJ68 AJ34:AJ35 AJ37:AJ38 AJ40:AJ41 AJ43:AJ44 AJ46:AJ47 AJ49:AJ50 AJ52:AJ53 AJ55:AJ56 AJ58:AJ59 AJ61:AJ62 AJ64:AJ65 AJ28:AJ32</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 type="list" allowBlank="1" showInputMessage="1" showErrorMessage="1" xr:uid="{00000000-0002-0000-0100-000002000000}">
          <x14:formula1>
            <xm:f>'Tabla Valoración controles'!$D$9:$D$10</xm:f>
          </x14:formula1>
          <xm:sqref>U10:U69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20" zoomScale="50" zoomScaleNormal="50" workbookViewId="0">
      <selection activeCell="L12" sqref="L12:M13"/>
    </sheetView>
  </sheetViews>
  <sheetFormatPr defaultColWidth="11.42578125" defaultRowHeight="15"/>
  <cols>
    <col min="2" max="39" width="5.7109375" customWidth="1"/>
    <col min="41" max="46" width="5.7109375" customWidth="1"/>
  </cols>
  <sheetData>
    <row r="1" spans="1:99">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c r="A2" s="82"/>
      <c r="B2" s="240" t="s">
        <v>165</v>
      </c>
      <c r="C2" s="240"/>
      <c r="D2" s="240"/>
      <c r="E2" s="240"/>
      <c r="F2" s="240"/>
      <c r="G2" s="240"/>
      <c r="H2" s="240"/>
      <c r="I2" s="240"/>
      <c r="J2" s="277" t="s">
        <v>15</v>
      </c>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c r="A3" s="82"/>
      <c r="B3" s="240"/>
      <c r="C3" s="240"/>
      <c r="D3" s="240"/>
      <c r="E3" s="240"/>
      <c r="F3" s="240"/>
      <c r="G3" s="240"/>
      <c r="H3" s="240"/>
      <c r="I3" s="240"/>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c r="A4" s="82"/>
      <c r="B4" s="240"/>
      <c r="C4" s="240"/>
      <c r="D4" s="240"/>
      <c r="E4" s="240"/>
      <c r="F4" s="240"/>
      <c r="G4" s="240"/>
      <c r="H4" s="240"/>
      <c r="I4" s="240"/>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c r="A6" s="82"/>
      <c r="B6" s="288" t="s">
        <v>166</v>
      </c>
      <c r="C6" s="288"/>
      <c r="D6" s="289"/>
      <c r="E6" s="278" t="s">
        <v>167</v>
      </c>
      <c r="F6" s="279"/>
      <c r="G6" s="279"/>
      <c r="H6" s="279"/>
      <c r="I6" s="280"/>
      <c r="J6" s="274" t="str">
        <f>IF(AND('Mapa final'!$H$10="Muy Alta",'Mapa final'!$L$10="Leve"),CONCATENATE("R",'Mapa final'!$A$10),"")</f>
        <v/>
      </c>
      <c r="K6" s="275"/>
      <c r="L6" s="275" t="str">
        <f>IF(AND('Mapa final'!$H$16="Muy Alta",'Mapa final'!$L$16="Leve"),CONCATENATE("R",'Mapa final'!$A$16),"")</f>
        <v/>
      </c>
      <c r="M6" s="275"/>
      <c r="N6" s="275" t="str">
        <f>IF(AND('Mapa final'!$H$22="Muy Alta",'Mapa final'!$L$22="Leve"),CONCATENATE("R",'Mapa final'!$A$22),"")</f>
        <v/>
      </c>
      <c r="O6" s="276"/>
      <c r="P6" s="274" t="str">
        <f>IF(AND('Mapa final'!$H$10="Muy Alta",'Mapa final'!$L$10="Menor"),CONCATENATE("R",'Mapa final'!$A$10),"")</f>
        <v/>
      </c>
      <c r="Q6" s="275"/>
      <c r="R6" s="275" t="str">
        <f>IF(AND('Mapa final'!$H$16="Muy Alta",'Mapa final'!$L$16="Menor"),CONCATENATE("R",'Mapa final'!$A$16),"")</f>
        <v/>
      </c>
      <c r="S6" s="275"/>
      <c r="T6" s="275" t="str">
        <f>IF(AND('Mapa final'!$H$22="Muy Alta",'Mapa final'!$L$22="Menor"),CONCATENATE("R",'Mapa final'!$A$22),"")</f>
        <v/>
      </c>
      <c r="U6" s="276"/>
      <c r="V6" s="274" t="str">
        <f>IF(AND('Mapa final'!$H$10="Muy Alta",'Mapa final'!$L$10="Moderado"),CONCATENATE("R",'Mapa final'!$A$10),"")</f>
        <v/>
      </c>
      <c r="W6" s="275"/>
      <c r="X6" s="275" t="str">
        <f>IF(AND('Mapa final'!$H$16="Muy Alta",'Mapa final'!$L$16="Moderado"),CONCATENATE("R",'Mapa final'!$A$16),"")</f>
        <v/>
      </c>
      <c r="Y6" s="275"/>
      <c r="Z6" s="275" t="str">
        <f>IF(AND('Mapa final'!$H$22="Muy Alta",'Mapa final'!$L$22="Moderado"),CONCATENATE("R",'Mapa final'!$A$22),"")</f>
        <v/>
      </c>
      <c r="AA6" s="276"/>
      <c r="AB6" s="274" t="str">
        <f>IF(AND('Mapa final'!$H$10="Muy Alta",'Mapa final'!$L$10="Mayor"),CONCATENATE("R",'Mapa final'!$A$10),"")</f>
        <v/>
      </c>
      <c r="AC6" s="275"/>
      <c r="AD6" s="275" t="str">
        <f>IF(AND('Mapa final'!$H$16="Muy Alta",'Mapa final'!$L$16="Mayor"),CONCATENATE("R",'Mapa final'!$A$16),"")</f>
        <v>R2</v>
      </c>
      <c r="AE6" s="275"/>
      <c r="AF6" s="275" t="str">
        <f>IF(AND('Mapa final'!$H$22="Muy Alta",'Mapa final'!$L$22="Mayor"),CONCATENATE("R",'Mapa final'!$A$22),"")</f>
        <v>R3</v>
      </c>
      <c r="AG6" s="276"/>
      <c r="AH6" s="265" t="str">
        <f>IF(AND('Mapa final'!$H$10="Muy Alta",'Mapa final'!$L$10="Catastrófico"),CONCATENATE("R",'Mapa final'!$A$10),"")</f>
        <v/>
      </c>
      <c r="AI6" s="266"/>
      <c r="AJ6" s="266" t="str">
        <f>IF(AND('Mapa final'!$H$16="Muy Alta",'Mapa final'!$L$16="Catastrófico"),CONCATENATE("R",'Mapa final'!$A$16),"")</f>
        <v/>
      </c>
      <c r="AK6" s="266"/>
      <c r="AL6" s="266" t="str">
        <f>IF(AND('Mapa final'!$H$22="Muy Alta",'Mapa final'!$L$22="Catastrófico"),CONCATENATE("R",'Mapa final'!$A$22),"")</f>
        <v/>
      </c>
      <c r="AM6" s="267"/>
      <c r="AO6" s="290" t="s">
        <v>168</v>
      </c>
      <c r="AP6" s="291"/>
      <c r="AQ6" s="291"/>
      <c r="AR6" s="291"/>
      <c r="AS6" s="291"/>
      <c r="AT6" s="29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c r="A7" s="82"/>
      <c r="B7" s="288"/>
      <c r="C7" s="288"/>
      <c r="D7" s="289"/>
      <c r="E7" s="281"/>
      <c r="F7" s="282"/>
      <c r="G7" s="282"/>
      <c r="H7" s="282"/>
      <c r="I7" s="283"/>
      <c r="J7" s="268"/>
      <c r="K7" s="269"/>
      <c r="L7" s="269"/>
      <c r="M7" s="269"/>
      <c r="N7" s="269"/>
      <c r="O7" s="270"/>
      <c r="P7" s="268"/>
      <c r="Q7" s="269"/>
      <c r="R7" s="269"/>
      <c r="S7" s="269"/>
      <c r="T7" s="269"/>
      <c r="U7" s="270"/>
      <c r="V7" s="268"/>
      <c r="W7" s="269"/>
      <c r="X7" s="269"/>
      <c r="Y7" s="269"/>
      <c r="Z7" s="269"/>
      <c r="AA7" s="270"/>
      <c r="AB7" s="268"/>
      <c r="AC7" s="269"/>
      <c r="AD7" s="269"/>
      <c r="AE7" s="269"/>
      <c r="AF7" s="269"/>
      <c r="AG7" s="270"/>
      <c r="AH7" s="259"/>
      <c r="AI7" s="260"/>
      <c r="AJ7" s="260"/>
      <c r="AK7" s="260"/>
      <c r="AL7" s="260"/>
      <c r="AM7" s="261"/>
      <c r="AN7" s="82"/>
      <c r="AO7" s="293"/>
      <c r="AP7" s="294"/>
      <c r="AQ7" s="294"/>
      <c r="AR7" s="294"/>
      <c r="AS7" s="294"/>
      <c r="AT7" s="295"/>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c r="A8" s="82"/>
      <c r="B8" s="288"/>
      <c r="C8" s="288"/>
      <c r="D8" s="289"/>
      <c r="E8" s="281"/>
      <c r="F8" s="282"/>
      <c r="G8" s="282"/>
      <c r="H8" s="282"/>
      <c r="I8" s="283"/>
      <c r="J8" s="268" t="str">
        <f>IF(AND('Mapa final'!$H$28="Muy Alta",'Mapa final'!$L$28="Leve"),CONCATENATE("R",'Mapa final'!$A$28),"")</f>
        <v/>
      </c>
      <c r="K8" s="269"/>
      <c r="L8" s="269" t="str">
        <f>IF(AND('Mapa final'!$H$34="Muy Alta",'Mapa final'!$L$34="Leve"),CONCATENATE("R",'Mapa final'!$A$34),"")</f>
        <v/>
      </c>
      <c r="M8" s="269"/>
      <c r="N8" s="269" t="str">
        <f>IF(AND('Mapa final'!$H$40="Muy Alta",'Mapa final'!$L$40="Leve"),CONCATENATE("R",'Mapa final'!$A$40),"")</f>
        <v/>
      </c>
      <c r="O8" s="270"/>
      <c r="P8" s="268" t="str">
        <f>IF(AND('Mapa final'!$H$28="Muy Alta",'Mapa final'!$L$28="Menor"),CONCATENATE("R",'Mapa final'!$A$28),"")</f>
        <v/>
      </c>
      <c r="Q8" s="269"/>
      <c r="R8" s="269" t="str">
        <f>IF(AND('Mapa final'!$H$34="Muy Alta",'Mapa final'!$L$34="Menor"),CONCATENATE("R",'Mapa final'!$A$34),"")</f>
        <v/>
      </c>
      <c r="S8" s="269"/>
      <c r="T8" s="269" t="str">
        <f>IF(AND('Mapa final'!$H$40="Muy Alta",'Mapa final'!$L$40="Menor"),CONCATENATE("R",'Mapa final'!$A$40),"")</f>
        <v/>
      </c>
      <c r="U8" s="270"/>
      <c r="V8" s="268" t="str">
        <f>IF(AND('Mapa final'!$H$28="Muy Alta",'Mapa final'!$L$28="Moderado"),CONCATENATE("R",'Mapa final'!$A$28),"")</f>
        <v/>
      </c>
      <c r="W8" s="269"/>
      <c r="X8" s="269" t="str">
        <f>IF(AND('Mapa final'!$H$34="Muy Alta",'Mapa final'!$L$34="Moderado"),CONCATENATE("R",'Mapa final'!$A$34),"")</f>
        <v/>
      </c>
      <c r="Y8" s="269"/>
      <c r="Z8" s="269" t="str">
        <f>IF(AND('Mapa final'!$H$40="Muy Alta",'Mapa final'!$L$40="Moderado"),CONCATENATE("R",'Mapa final'!$A$40),"")</f>
        <v/>
      </c>
      <c r="AA8" s="270"/>
      <c r="AB8" s="268" t="str">
        <f>IF(AND('Mapa final'!$H$28="Muy Alta",'Mapa final'!$L$28="Mayor"),CONCATENATE("R",'Mapa final'!$A$28),"")</f>
        <v>R4</v>
      </c>
      <c r="AC8" s="269"/>
      <c r="AD8" s="269" t="str">
        <f>IF(AND('Mapa final'!$H$34="Muy Alta",'Mapa final'!$L$34="Mayor"),CONCATENATE("R",'Mapa final'!$A$34),"")</f>
        <v/>
      </c>
      <c r="AE8" s="269"/>
      <c r="AF8" s="269" t="str">
        <f>IF(AND('Mapa final'!$H$40="Muy Alta",'Mapa final'!$L$40="Mayor"),CONCATENATE("R",'Mapa final'!$A$40),"")</f>
        <v/>
      </c>
      <c r="AG8" s="270"/>
      <c r="AH8" s="259" t="str">
        <f>IF(AND('Mapa final'!$H$28="Muy Alta",'Mapa final'!$L$28="Catastrófico"),CONCATENATE("R",'Mapa final'!$A$28),"")</f>
        <v/>
      </c>
      <c r="AI8" s="260"/>
      <c r="AJ8" s="260" t="str">
        <f>IF(AND('Mapa final'!$H$34="Muy Alta",'Mapa final'!$L$34="Catastrófico"),CONCATENATE("R",'Mapa final'!$A$34),"")</f>
        <v/>
      </c>
      <c r="AK8" s="260"/>
      <c r="AL8" s="260" t="str">
        <f>IF(AND('Mapa final'!$H$40="Muy Alta",'Mapa final'!$L$40="Catastrófico"),CONCATENATE("R",'Mapa final'!$A$40),"")</f>
        <v/>
      </c>
      <c r="AM8" s="261"/>
      <c r="AN8" s="82"/>
      <c r="AO8" s="293"/>
      <c r="AP8" s="294"/>
      <c r="AQ8" s="294"/>
      <c r="AR8" s="294"/>
      <c r="AS8" s="294"/>
      <c r="AT8" s="295"/>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c r="A9" s="82"/>
      <c r="B9" s="288"/>
      <c r="C9" s="288"/>
      <c r="D9" s="289"/>
      <c r="E9" s="281"/>
      <c r="F9" s="282"/>
      <c r="G9" s="282"/>
      <c r="H9" s="282"/>
      <c r="I9" s="283"/>
      <c r="J9" s="268"/>
      <c r="K9" s="269"/>
      <c r="L9" s="269"/>
      <c r="M9" s="269"/>
      <c r="N9" s="269"/>
      <c r="O9" s="270"/>
      <c r="P9" s="268"/>
      <c r="Q9" s="269"/>
      <c r="R9" s="269"/>
      <c r="S9" s="269"/>
      <c r="T9" s="269"/>
      <c r="U9" s="270"/>
      <c r="V9" s="268"/>
      <c r="W9" s="269"/>
      <c r="X9" s="269"/>
      <c r="Y9" s="269"/>
      <c r="Z9" s="269"/>
      <c r="AA9" s="270"/>
      <c r="AB9" s="268"/>
      <c r="AC9" s="269"/>
      <c r="AD9" s="269"/>
      <c r="AE9" s="269"/>
      <c r="AF9" s="269"/>
      <c r="AG9" s="270"/>
      <c r="AH9" s="259"/>
      <c r="AI9" s="260"/>
      <c r="AJ9" s="260"/>
      <c r="AK9" s="260"/>
      <c r="AL9" s="260"/>
      <c r="AM9" s="261"/>
      <c r="AN9" s="82"/>
      <c r="AO9" s="293"/>
      <c r="AP9" s="294"/>
      <c r="AQ9" s="294"/>
      <c r="AR9" s="294"/>
      <c r="AS9" s="294"/>
      <c r="AT9" s="295"/>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c r="A10" s="82"/>
      <c r="B10" s="288"/>
      <c r="C10" s="288"/>
      <c r="D10" s="289"/>
      <c r="E10" s="281"/>
      <c r="F10" s="282"/>
      <c r="G10" s="282"/>
      <c r="H10" s="282"/>
      <c r="I10" s="283"/>
      <c r="J10" s="268" t="str">
        <f>IF(AND('Mapa final'!$H$46="Muy Alta",'Mapa final'!$L$46="Leve"),CONCATENATE("R",'Mapa final'!$A$46),"")</f>
        <v/>
      </c>
      <c r="K10" s="269"/>
      <c r="L10" s="269" t="str">
        <f>IF(AND('Mapa final'!$H$52="Muy Alta",'Mapa final'!$L$52="Leve"),CONCATENATE("R",'Mapa final'!$A$52),"")</f>
        <v/>
      </c>
      <c r="M10" s="269"/>
      <c r="N10" s="269" t="str">
        <f>IF(AND('Mapa final'!$H$58="Muy Alta",'Mapa final'!$L$58="Leve"),CONCATENATE("R",'Mapa final'!$A$58),"")</f>
        <v/>
      </c>
      <c r="O10" s="270"/>
      <c r="P10" s="268" t="str">
        <f>IF(AND('Mapa final'!$H$46="Muy Alta",'Mapa final'!$L$46="Menor"),CONCATENATE("R",'Mapa final'!$A$46),"")</f>
        <v/>
      </c>
      <c r="Q10" s="269"/>
      <c r="R10" s="269" t="str">
        <f>IF(AND('Mapa final'!$H$52="Muy Alta",'Mapa final'!$L$52="Menor"),CONCATENATE("R",'Mapa final'!$A$52),"")</f>
        <v/>
      </c>
      <c r="S10" s="269"/>
      <c r="T10" s="269" t="str">
        <f>IF(AND('Mapa final'!$H$58="Muy Alta",'Mapa final'!$L$58="Menor"),CONCATENATE("R",'Mapa final'!$A$58),"")</f>
        <v/>
      </c>
      <c r="U10" s="270"/>
      <c r="V10" s="268" t="str">
        <f>IF(AND('Mapa final'!$H$46="Muy Alta",'Mapa final'!$L$46="Moderado"),CONCATENATE("R",'Mapa final'!$A$46),"")</f>
        <v/>
      </c>
      <c r="W10" s="269"/>
      <c r="X10" s="269" t="str">
        <f>IF(AND('Mapa final'!$H$52="Muy Alta",'Mapa final'!$L$52="Moderado"),CONCATENATE("R",'Mapa final'!$A$52),"")</f>
        <v/>
      </c>
      <c r="Y10" s="269"/>
      <c r="Z10" s="269" t="str">
        <f>IF(AND('Mapa final'!$H$58="Muy Alta",'Mapa final'!$L$58="Moderado"),CONCATENATE("R",'Mapa final'!$A$58),"")</f>
        <v/>
      </c>
      <c r="AA10" s="270"/>
      <c r="AB10" s="268" t="str">
        <f>IF(AND('Mapa final'!$H$46="Muy Alta",'Mapa final'!$L$46="Mayor"),CONCATENATE("R",'Mapa final'!$A$46),"")</f>
        <v/>
      </c>
      <c r="AC10" s="269"/>
      <c r="AD10" s="269" t="str">
        <f>IF(AND('Mapa final'!$H$52="Muy Alta",'Mapa final'!$L$52="Mayor"),CONCATENATE("R",'Mapa final'!$A$52),"")</f>
        <v/>
      </c>
      <c r="AE10" s="269"/>
      <c r="AF10" s="269" t="str">
        <f>IF(AND('Mapa final'!$H$58="Muy Alta",'Mapa final'!$L$58="Mayor"),CONCATENATE("R",'Mapa final'!$A$58),"")</f>
        <v/>
      </c>
      <c r="AG10" s="270"/>
      <c r="AH10" s="259" t="str">
        <f>IF(AND('Mapa final'!$H$46="Muy Alta",'Mapa final'!$L$46="Catastrófico"),CONCATENATE("R",'Mapa final'!$A$46),"")</f>
        <v/>
      </c>
      <c r="AI10" s="260"/>
      <c r="AJ10" s="260" t="str">
        <f>IF(AND('Mapa final'!$H$52="Muy Alta",'Mapa final'!$L$52="Catastrófico"),CONCATENATE("R",'Mapa final'!$A$52),"")</f>
        <v/>
      </c>
      <c r="AK10" s="260"/>
      <c r="AL10" s="260" t="str">
        <f>IF(AND('Mapa final'!$H$58="Muy Alta",'Mapa final'!$L$58="Catastrófico"),CONCATENATE("R",'Mapa final'!$A$58),"")</f>
        <v/>
      </c>
      <c r="AM10" s="261"/>
      <c r="AN10" s="82"/>
      <c r="AO10" s="293"/>
      <c r="AP10" s="294"/>
      <c r="AQ10" s="294"/>
      <c r="AR10" s="294"/>
      <c r="AS10" s="294"/>
      <c r="AT10" s="295"/>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c r="A11" s="82"/>
      <c r="B11" s="288"/>
      <c r="C11" s="288"/>
      <c r="D11" s="289"/>
      <c r="E11" s="281"/>
      <c r="F11" s="282"/>
      <c r="G11" s="282"/>
      <c r="H11" s="282"/>
      <c r="I11" s="283"/>
      <c r="J11" s="268"/>
      <c r="K11" s="269"/>
      <c r="L11" s="269"/>
      <c r="M11" s="269"/>
      <c r="N11" s="269"/>
      <c r="O11" s="270"/>
      <c r="P11" s="268"/>
      <c r="Q11" s="269"/>
      <c r="R11" s="269"/>
      <c r="S11" s="269"/>
      <c r="T11" s="269"/>
      <c r="U11" s="270"/>
      <c r="V11" s="268"/>
      <c r="W11" s="269"/>
      <c r="X11" s="269"/>
      <c r="Y11" s="269"/>
      <c r="Z11" s="269"/>
      <c r="AA11" s="270"/>
      <c r="AB11" s="268"/>
      <c r="AC11" s="269"/>
      <c r="AD11" s="269"/>
      <c r="AE11" s="269"/>
      <c r="AF11" s="269"/>
      <c r="AG11" s="270"/>
      <c r="AH11" s="259"/>
      <c r="AI11" s="260"/>
      <c r="AJ11" s="260"/>
      <c r="AK11" s="260"/>
      <c r="AL11" s="260"/>
      <c r="AM11" s="261"/>
      <c r="AN11" s="82"/>
      <c r="AO11" s="293"/>
      <c r="AP11" s="294"/>
      <c r="AQ11" s="294"/>
      <c r="AR11" s="294"/>
      <c r="AS11" s="294"/>
      <c r="AT11" s="295"/>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c r="A12" s="82"/>
      <c r="B12" s="288"/>
      <c r="C12" s="288"/>
      <c r="D12" s="289"/>
      <c r="E12" s="281"/>
      <c r="F12" s="282"/>
      <c r="G12" s="282"/>
      <c r="H12" s="282"/>
      <c r="I12" s="283"/>
      <c r="J12" s="268" t="str">
        <f>IF(AND('Mapa final'!$H$64="Muy Alta",'Mapa final'!$L$64="Leve"),CONCATENATE("R",'Mapa final'!$A$64),"")</f>
        <v/>
      </c>
      <c r="K12" s="269"/>
      <c r="L12" s="269" t="str">
        <f>IF(AND('Mapa final'!$H$70="Muy Alta",'Mapa final'!$L$70="Leve"),CONCATENATE("R",'Mapa final'!$A$70),"")</f>
        <v/>
      </c>
      <c r="M12" s="269"/>
      <c r="N12" s="269" t="str">
        <f>IF(AND('Mapa final'!$H$76="Muy Alta",'Mapa final'!$L$76="Leve"),CONCATENATE("R",'Mapa final'!$A$76),"")</f>
        <v/>
      </c>
      <c r="O12" s="270"/>
      <c r="P12" s="268" t="str">
        <f>IF(AND('Mapa final'!$H$64="Muy Alta",'Mapa final'!$L$64="Menor"),CONCATENATE("R",'Mapa final'!$A$64),"")</f>
        <v/>
      </c>
      <c r="Q12" s="269"/>
      <c r="R12" s="269" t="str">
        <f>IF(AND('Mapa final'!$H$70="Muy Alta",'Mapa final'!$L$70="Menor"),CONCATENATE("R",'Mapa final'!$A$70),"")</f>
        <v/>
      </c>
      <c r="S12" s="269"/>
      <c r="T12" s="269" t="str">
        <f>IF(AND('Mapa final'!$H$76="Muy Alta",'Mapa final'!$L$76="Menor"),CONCATENATE("R",'Mapa final'!$A$76),"")</f>
        <v/>
      </c>
      <c r="U12" s="270"/>
      <c r="V12" s="268" t="str">
        <f>IF(AND('Mapa final'!$H$64="Muy Alta",'Mapa final'!$L$64="Moderado"),CONCATENATE("R",'Mapa final'!$A$64),"")</f>
        <v/>
      </c>
      <c r="W12" s="269"/>
      <c r="X12" s="269" t="str">
        <f>IF(AND('Mapa final'!$H$70="Muy Alta",'Mapa final'!$L$70="Moderado"),CONCATENATE("R",'Mapa final'!$A$70),"")</f>
        <v/>
      </c>
      <c r="Y12" s="269"/>
      <c r="Z12" s="269" t="str">
        <f>IF(AND('Mapa final'!$H$76="Muy Alta",'Mapa final'!$L$76="Moderado"),CONCATENATE("R",'Mapa final'!$A$76),"")</f>
        <v/>
      </c>
      <c r="AA12" s="270"/>
      <c r="AB12" s="268" t="str">
        <f>IF(AND('Mapa final'!$H$64="Muy Alta",'Mapa final'!$L$64="Mayor"),CONCATENATE("R",'Mapa final'!$A$64),"")</f>
        <v/>
      </c>
      <c r="AC12" s="269"/>
      <c r="AD12" s="269" t="str">
        <f>IF(AND('Mapa final'!$H$70="Muy Alta",'Mapa final'!$L$70="Mayor"),CONCATENATE("R",'Mapa final'!$A$70),"")</f>
        <v/>
      </c>
      <c r="AE12" s="269"/>
      <c r="AF12" s="269" t="str">
        <f>IF(AND('Mapa final'!$H$76="Muy Alta",'Mapa final'!$L$76="Mayor"),CONCATENATE("R",'Mapa final'!$A$76),"")</f>
        <v/>
      </c>
      <c r="AG12" s="270"/>
      <c r="AH12" s="259" t="str">
        <f>IF(AND('Mapa final'!$H$64="Muy Alta",'Mapa final'!$L$64="Catastrófico"),CONCATENATE("R",'Mapa final'!$A$64),"")</f>
        <v/>
      </c>
      <c r="AI12" s="260"/>
      <c r="AJ12" s="260" t="str">
        <f>IF(AND('Mapa final'!$H$70="Muy Alta",'Mapa final'!$L$70="Catastrófico"),CONCATENATE("R",'Mapa final'!$A$70),"")</f>
        <v/>
      </c>
      <c r="AK12" s="260"/>
      <c r="AL12" s="260" t="str">
        <f>IF(AND('Mapa final'!$H$76="Muy Alta",'Mapa final'!$L$76="Catastrófico"),CONCATENATE("R",'Mapa final'!$A$76),"")</f>
        <v/>
      </c>
      <c r="AM12" s="261"/>
      <c r="AN12" s="82"/>
      <c r="AO12" s="293"/>
      <c r="AP12" s="294"/>
      <c r="AQ12" s="294"/>
      <c r="AR12" s="294"/>
      <c r="AS12" s="294"/>
      <c r="AT12" s="295"/>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c r="A13" s="82"/>
      <c r="B13" s="288"/>
      <c r="C13" s="288"/>
      <c r="D13" s="289"/>
      <c r="E13" s="284"/>
      <c r="F13" s="285"/>
      <c r="G13" s="285"/>
      <c r="H13" s="285"/>
      <c r="I13" s="286"/>
      <c r="J13" s="268"/>
      <c r="K13" s="269"/>
      <c r="L13" s="269"/>
      <c r="M13" s="269"/>
      <c r="N13" s="269"/>
      <c r="O13" s="270"/>
      <c r="P13" s="268"/>
      <c r="Q13" s="269"/>
      <c r="R13" s="269"/>
      <c r="S13" s="269"/>
      <c r="T13" s="269"/>
      <c r="U13" s="270"/>
      <c r="V13" s="268"/>
      <c r="W13" s="269"/>
      <c r="X13" s="269"/>
      <c r="Y13" s="269"/>
      <c r="Z13" s="269"/>
      <c r="AA13" s="270"/>
      <c r="AB13" s="268"/>
      <c r="AC13" s="269"/>
      <c r="AD13" s="269"/>
      <c r="AE13" s="269"/>
      <c r="AF13" s="269"/>
      <c r="AG13" s="270"/>
      <c r="AH13" s="262"/>
      <c r="AI13" s="263"/>
      <c r="AJ13" s="263"/>
      <c r="AK13" s="263"/>
      <c r="AL13" s="263"/>
      <c r="AM13" s="264"/>
      <c r="AN13" s="82"/>
      <c r="AO13" s="296"/>
      <c r="AP13" s="297"/>
      <c r="AQ13" s="297"/>
      <c r="AR13" s="297"/>
      <c r="AS13" s="297"/>
      <c r="AT13" s="298"/>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c r="A14" s="82"/>
      <c r="B14" s="288"/>
      <c r="C14" s="288"/>
      <c r="D14" s="289"/>
      <c r="E14" s="278" t="s">
        <v>169</v>
      </c>
      <c r="F14" s="279"/>
      <c r="G14" s="279"/>
      <c r="H14" s="279"/>
      <c r="I14" s="279"/>
      <c r="J14" s="256" t="str">
        <f>IF(AND('Mapa final'!$H$10="Alta",'Mapa final'!$L$10="Leve"),CONCATENATE("R",'Mapa final'!$A$10),"")</f>
        <v/>
      </c>
      <c r="K14" s="257"/>
      <c r="L14" s="257" t="str">
        <f>IF(AND('Mapa final'!$H$16="Alta",'Mapa final'!$L$16="Leve"),CONCATENATE("R",'Mapa final'!$A$16),"")</f>
        <v/>
      </c>
      <c r="M14" s="257"/>
      <c r="N14" s="257" t="str">
        <f>IF(AND('Mapa final'!$H$22="Alta",'Mapa final'!$L$22="Leve"),CONCATENATE("R",'Mapa final'!$A$22),"")</f>
        <v/>
      </c>
      <c r="O14" s="258"/>
      <c r="P14" s="256" t="str">
        <f>IF(AND('Mapa final'!$H$10="Alta",'Mapa final'!$L$10="Menor"),CONCATENATE("R",'Mapa final'!$A$10),"")</f>
        <v/>
      </c>
      <c r="Q14" s="257"/>
      <c r="R14" s="257" t="str">
        <f>IF(AND('Mapa final'!$H$16="Alta",'Mapa final'!$L$16="Menor"),CONCATENATE("R",'Mapa final'!$A$16),"")</f>
        <v/>
      </c>
      <c r="S14" s="257"/>
      <c r="T14" s="257" t="str">
        <f>IF(AND('Mapa final'!$H$22="Alta",'Mapa final'!$L$22="Menor"),CONCATENATE("R",'Mapa final'!$A$22),"")</f>
        <v/>
      </c>
      <c r="U14" s="258"/>
      <c r="V14" s="274" t="str">
        <f>IF(AND('Mapa final'!$H$10="Alta",'Mapa final'!$L$10="Moderado"),CONCATENATE("R",'Mapa final'!$A$10),"")</f>
        <v>R1</v>
      </c>
      <c r="W14" s="275"/>
      <c r="X14" s="275" t="str">
        <f>IF(AND('Mapa final'!$H$16="Alta",'Mapa final'!$L$16="Moderado"),CONCATENATE("R",'Mapa final'!$A$16),"")</f>
        <v/>
      </c>
      <c r="Y14" s="275"/>
      <c r="Z14" s="275" t="str">
        <f>IF(AND('Mapa final'!$H$22="Alta",'Mapa final'!$L$22="Moderado"),CONCATENATE("R",'Mapa final'!$A$22),"")</f>
        <v/>
      </c>
      <c r="AA14" s="276"/>
      <c r="AB14" s="274" t="str">
        <f>IF(AND('Mapa final'!$H$10="Alta",'Mapa final'!$L$10="Mayor"),CONCATENATE("R",'Mapa final'!$A$10),"")</f>
        <v/>
      </c>
      <c r="AC14" s="275"/>
      <c r="AD14" s="275" t="str">
        <f>IF(AND('Mapa final'!$H$16="Alta",'Mapa final'!$L$16="Mayor"),CONCATENATE("R",'Mapa final'!$A$16),"")</f>
        <v/>
      </c>
      <c r="AE14" s="275"/>
      <c r="AF14" s="275" t="str">
        <f>IF(AND('Mapa final'!$H$22="Alta",'Mapa final'!$L$22="Mayor"),CONCATENATE("R",'Mapa final'!$A$22),"")</f>
        <v/>
      </c>
      <c r="AG14" s="276"/>
      <c r="AH14" s="265" t="str">
        <f>IF(AND('Mapa final'!$H$10="Alta",'Mapa final'!$L$10="Catastrófico"),CONCATENATE("R",'Mapa final'!$A$10),"")</f>
        <v/>
      </c>
      <c r="AI14" s="266"/>
      <c r="AJ14" s="266" t="str">
        <f>IF(AND('Mapa final'!$H$16="Alta",'Mapa final'!$L$16="Catastrófico"),CONCATENATE("R",'Mapa final'!$A$16),"")</f>
        <v/>
      </c>
      <c r="AK14" s="266"/>
      <c r="AL14" s="266" t="str">
        <f>IF(AND('Mapa final'!$H$22="Alta",'Mapa final'!$L$22="Catastrófico"),CONCATENATE("R",'Mapa final'!$A$22),"")</f>
        <v/>
      </c>
      <c r="AM14" s="267"/>
      <c r="AN14" s="82"/>
      <c r="AO14" s="299" t="s">
        <v>170</v>
      </c>
      <c r="AP14" s="300"/>
      <c r="AQ14" s="300"/>
      <c r="AR14" s="300"/>
      <c r="AS14" s="300"/>
      <c r="AT14" s="301"/>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c r="A15" s="82"/>
      <c r="B15" s="288"/>
      <c r="C15" s="288"/>
      <c r="D15" s="289"/>
      <c r="E15" s="281"/>
      <c r="F15" s="282"/>
      <c r="G15" s="282"/>
      <c r="H15" s="282"/>
      <c r="I15" s="282"/>
      <c r="J15" s="250"/>
      <c r="K15" s="251"/>
      <c r="L15" s="251"/>
      <c r="M15" s="251"/>
      <c r="N15" s="251"/>
      <c r="O15" s="252"/>
      <c r="P15" s="250"/>
      <c r="Q15" s="251"/>
      <c r="R15" s="251"/>
      <c r="S15" s="251"/>
      <c r="T15" s="251"/>
      <c r="U15" s="252"/>
      <c r="V15" s="268"/>
      <c r="W15" s="269"/>
      <c r="X15" s="269"/>
      <c r="Y15" s="269"/>
      <c r="Z15" s="269"/>
      <c r="AA15" s="270"/>
      <c r="AB15" s="268"/>
      <c r="AC15" s="269"/>
      <c r="AD15" s="269"/>
      <c r="AE15" s="269"/>
      <c r="AF15" s="269"/>
      <c r="AG15" s="270"/>
      <c r="AH15" s="259"/>
      <c r="AI15" s="260"/>
      <c r="AJ15" s="260"/>
      <c r="AK15" s="260"/>
      <c r="AL15" s="260"/>
      <c r="AM15" s="261"/>
      <c r="AN15" s="82"/>
      <c r="AO15" s="302"/>
      <c r="AP15" s="303"/>
      <c r="AQ15" s="303"/>
      <c r="AR15" s="303"/>
      <c r="AS15" s="303"/>
      <c r="AT15" s="304"/>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c r="A16" s="82"/>
      <c r="B16" s="288"/>
      <c r="C16" s="288"/>
      <c r="D16" s="289"/>
      <c r="E16" s="281"/>
      <c r="F16" s="282"/>
      <c r="G16" s="282"/>
      <c r="H16" s="282"/>
      <c r="I16" s="282"/>
      <c r="J16" s="250" t="str">
        <f>IF(AND('Mapa final'!$H$28="Alta",'Mapa final'!$L$28="Leve"),CONCATENATE("R",'Mapa final'!$A$28),"")</f>
        <v/>
      </c>
      <c r="K16" s="251"/>
      <c r="L16" s="251" t="str">
        <f>IF(AND('Mapa final'!$H$34="Alta",'Mapa final'!$L$34="Leve"),CONCATENATE("R",'Mapa final'!$A$34),"")</f>
        <v/>
      </c>
      <c r="M16" s="251"/>
      <c r="N16" s="251" t="str">
        <f>IF(AND('Mapa final'!$H$40="Alta",'Mapa final'!$L$40="Leve"),CONCATENATE("R",'Mapa final'!$A$40),"")</f>
        <v/>
      </c>
      <c r="O16" s="252"/>
      <c r="P16" s="250" t="str">
        <f>IF(AND('Mapa final'!$H$28="Alta",'Mapa final'!$L$28="Menor"),CONCATENATE("R",'Mapa final'!$A$28),"")</f>
        <v/>
      </c>
      <c r="Q16" s="251"/>
      <c r="R16" s="251" t="str">
        <f>IF(AND('Mapa final'!$H$34="Alta",'Mapa final'!$L$34="Menor"),CONCATENATE("R",'Mapa final'!$A$34),"")</f>
        <v/>
      </c>
      <c r="S16" s="251"/>
      <c r="T16" s="251" t="str">
        <f>IF(AND('Mapa final'!$H$40="Alta",'Mapa final'!$L$40="Menor"),CONCATENATE("R",'Mapa final'!$A$40),"")</f>
        <v/>
      </c>
      <c r="U16" s="252"/>
      <c r="V16" s="268" t="str">
        <f>IF(AND('Mapa final'!$H$28="Alta",'Mapa final'!$L$28="Moderado"),CONCATENATE("R",'Mapa final'!$A$28),"")</f>
        <v/>
      </c>
      <c r="W16" s="269"/>
      <c r="X16" s="269" t="str">
        <f>IF(AND('Mapa final'!$H$34="Alta",'Mapa final'!$L$34="Moderado"),CONCATENATE("R",'Mapa final'!$A$34),"")</f>
        <v/>
      </c>
      <c r="Y16" s="269"/>
      <c r="Z16" s="269" t="str">
        <f>IF(AND('Mapa final'!$H$40="Alta",'Mapa final'!$L$40="Moderado"),CONCATENATE("R",'Mapa final'!$A$40),"")</f>
        <v/>
      </c>
      <c r="AA16" s="270"/>
      <c r="AB16" s="268" t="str">
        <f>IF(AND('Mapa final'!$H$28="Alta",'Mapa final'!$L$28="Mayor"),CONCATENATE("R",'Mapa final'!$A$28),"")</f>
        <v/>
      </c>
      <c r="AC16" s="269"/>
      <c r="AD16" s="269" t="str">
        <f>IF(AND('Mapa final'!$H$34="Alta",'Mapa final'!$L$34="Mayor"),CONCATENATE("R",'Mapa final'!$A$34),"")</f>
        <v/>
      </c>
      <c r="AE16" s="269"/>
      <c r="AF16" s="269" t="str">
        <f>IF(AND('Mapa final'!$H$40="Alta",'Mapa final'!$L$40="Mayor"),CONCATENATE("R",'Mapa final'!$A$40),"")</f>
        <v/>
      </c>
      <c r="AG16" s="270"/>
      <c r="AH16" s="259" t="str">
        <f>IF(AND('Mapa final'!$H$28="Alta",'Mapa final'!$L$28="Catastrófico"),CONCATENATE("R",'Mapa final'!$A$28),"")</f>
        <v/>
      </c>
      <c r="AI16" s="260"/>
      <c r="AJ16" s="260" t="str">
        <f>IF(AND('Mapa final'!$H$34="Alta",'Mapa final'!$L$34="Catastrófico"),CONCATENATE("R",'Mapa final'!$A$34),"")</f>
        <v/>
      </c>
      <c r="AK16" s="260"/>
      <c r="AL16" s="260" t="str">
        <f>IF(AND('Mapa final'!$H$40="Alta",'Mapa final'!$L$40="Catastrófico"),CONCATENATE("R",'Mapa final'!$A$40),"")</f>
        <v/>
      </c>
      <c r="AM16" s="261"/>
      <c r="AN16" s="82"/>
      <c r="AO16" s="302"/>
      <c r="AP16" s="303"/>
      <c r="AQ16" s="303"/>
      <c r="AR16" s="303"/>
      <c r="AS16" s="303"/>
      <c r="AT16" s="304"/>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c r="A17" s="82"/>
      <c r="B17" s="288"/>
      <c r="C17" s="288"/>
      <c r="D17" s="289"/>
      <c r="E17" s="281"/>
      <c r="F17" s="282"/>
      <c r="G17" s="282"/>
      <c r="H17" s="282"/>
      <c r="I17" s="282"/>
      <c r="J17" s="250"/>
      <c r="K17" s="251"/>
      <c r="L17" s="251"/>
      <c r="M17" s="251"/>
      <c r="N17" s="251"/>
      <c r="O17" s="252"/>
      <c r="P17" s="250"/>
      <c r="Q17" s="251"/>
      <c r="R17" s="251"/>
      <c r="S17" s="251"/>
      <c r="T17" s="251"/>
      <c r="U17" s="252"/>
      <c r="V17" s="268"/>
      <c r="W17" s="269"/>
      <c r="X17" s="269"/>
      <c r="Y17" s="269"/>
      <c r="Z17" s="269"/>
      <c r="AA17" s="270"/>
      <c r="AB17" s="268"/>
      <c r="AC17" s="269"/>
      <c r="AD17" s="269"/>
      <c r="AE17" s="269"/>
      <c r="AF17" s="269"/>
      <c r="AG17" s="270"/>
      <c r="AH17" s="259"/>
      <c r="AI17" s="260"/>
      <c r="AJ17" s="260"/>
      <c r="AK17" s="260"/>
      <c r="AL17" s="260"/>
      <c r="AM17" s="261"/>
      <c r="AN17" s="82"/>
      <c r="AO17" s="302"/>
      <c r="AP17" s="303"/>
      <c r="AQ17" s="303"/>
      <c r="AR17" s="303"/>
      <c r="AS17" s="303"/>
      <c r="AT17" s="304"/>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c r="A18" s="82"/>
      <c r="B18" s="288"/>
      <c r="C18" s="288"/>
      <c r="D18" s="289"/>
      <c r="E18" s="281"/>
      <c r="F18" s="282"/>
      <c r="G18" s="282"/>
      <c r="H18" s="282"/>
      <c r="I18" s="282"/>
      <c r="J18" s="250" t="str">
        <f>IF(AND('Mapa final'!$H$46="Alta",'Mapa final'!$L$46="Leve"),CONCATENATE("R",'Mapa final'!$A$46),"")</f>
        <v/>
      </c>
      <c r="K18" s="251"/>
      <c r="L18" s="251" t="str">
        <f>IF(AND('Mapa final'!$H$52="Alta",'Mapa final'!$L$52="Leve"),CONCATENATE("R",'Mapa final'!$A$52),"")</f>
        <v/>
      </c>
      <c r="M18" s="251"/>
      <c r="N18" s="251" t="str">
        <f>IF(AND('Mapa final'!$H$58="Alta",'Mapa final'!$L$58="Leve"),CONCATENATE("R",'Mapa final'!$A$58),"")</f>
        <v/>
      </c>
      <c r="O18" s="252"/>
      <c r="P18" s="250" t="str">
        <f>IF(AND('Mapa final'!$H$46="Alta",'Mapa final'!$L$46="Menor"),CONCATENATE("R",'Mapa final'!$A$46),"")</f>
        <v/>
      </c>
      <c r="Q18" s="251"/>
      <c r="R18" s="251" t="str">
        <f>IF(AND('Mapa final'!$H$52="Alta",'Mapa final'!$L$52="Menor"),CONCATENATE("R",'Mapa final'!$A$52),"")</f>
        <v/>
      </c>
      <c r="S18" s="251"/>
      <c r="T18" s="251" t="str">
        <f>IF(AND('Mapa final'!$H$58="Alta",'Mapa final'!$L$58="Menor"),CONCATENATE("R",'Mapa final'!$A$58),"")</f>
        <v/>
      </c>
      <c r="U18" s="252"/>
      <c r="V18" s="268" t="str">
        <f>IF(AND('Mapa final'!$H$46="Alta",'Mapa final'!$L$46="Moderado"),CONCATENATE("R",'Mapa final'!$A$46),"")</f>
        <v/>
      </c>
      <c r="W18" s="269"/>
      <c r="X18" s="269" t="str">
        <f>IF(AND('Mapa final'!$H$52="Alta",'Mapa final'!$L$52="Moderado"),CONCATENATE("R",'Mapa final'!$A$52),"")</f>
        <v/>
      </c>
      <c r="Y18" s="269"/>
      <c r="Z18" s="269" t="str">
        <f>IF(AND('Mapa final'!$H$58="Alta",'Mapa final'!$L$58="Moderado"),CONCATENATE("R",'Mapa final'!$A$58),"")</f>
        <v/>
      </c>
      <c r="AA18" s="270"/>
      <c r="AB18" s="268" t="str">
        <f>IF(AND('Mapa final'!$H$46="Alta",'Mapa final'!$L$46="Mayor"),CONCATENATE("R",'Mapa final'!$A$46),"")</f>
        <v/>
      </c>
      <c r="AC18" s="269"/>
      <c r="AD18" s="269" t="str">
        <f>IF(AND('Mapa final'!$H$52="Alta",'Mapa final'!$L$52="Mayor"),CONCATENATE("R",'Mapa final'!$A$52),"")</f>
        <v/>
      </c>
      <c r="AE18" s="269"/>
      <c r="AF18" s="269" t="str">
        <f>IF(AND('Mapa final'!$H$58="Alta",'Mapa final'!$L$58="Mayor"),CONCATENATE("R",'Mapa final'!$A$58),"")</f>
        <v/>
      </c>
      <c r="AG18" s="270"/>
      <c r="AH18" s="259" t="str">
        <f>IF(AND('Mapa final'!$H$46="Alta",'Mapa final'!$L$46="Catastrófico"),CONCATENATE("R",'Mapa final'!$A$46),"")</f>
        <v/>
      </c>
      <c r="AI18" s="260"/>
      <c r="AJ18" s="260" t="str">
        <f>IF(AND('Mapa final'!$H$52="Alta",'Mapa final'!$L$52="Catastrófico"),CONCATENATE("R",'Mapa final'!$A$52),"")</f>
        <v/>
      </c>
      <c r="AK18" s="260"/>
      <c r="AL18" s="260" t="str">
        <f>IF(AND('Mapa final'!$H$58="Alta",'Mapa final'!$L$58="Catastrófico"),CONCATENATE("R",'Mapa final'!$A$58),"")</f>
        <v/>
      </c>
      <c r="AM18" s="261"/>
      <c r="AN18" s="82"/>
      <c r="AO18" s="302"/>
      <c r="AP18" s="303"/>
      <c r="AQ18" s="303"/>
      <c r="AR18" s="303"/>
      <c r="AS18" s="303"/>
      <c r="AT18" s="304"/>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c r="A19" s="82"/>
      <c r="B19" s="288"/>
      <c r="C19" s="288"/>
      <c r="D19" s="289"/>
      <c r="E19" s="281"/>
      <c r="F19" s="282"/>
      <c r="G19" s="282"/>
      <c r="H19" s="282"/>
      <c r="I19" s="282"/>
      <c r="J19" s="250"/>
      <c r="K19" s="251"/>
      <c r="L19" s="251"/>
      <c r="M19" s="251"/>
      <c r="N19" s="251"/>
      <c r="O19" s="252"/>
      <c r="P19" s="250"/>
      <c r="Q19" s="251"/>
      <c r="R19" s="251"/>
      <c r="S19" s="251"/>
      <c r="T19" s="251"/>
      <c r="U19" s="252"/>
      <c r="V19" s="268"/>
      <c r="W19" s="269"/>
      <c r="X19" s="269"/>
      <c r="Y19" s="269"/>
      <c r="Z19" s="269"/>
      <c r="AA19" s="270"/>
      <c r="AB19" s="268"/>
      <c r="AC19" s="269"/>
      <c r="AD19" s="269"/>
      <c r="AE19" s="269"/>
      <c r="AF19" s="269"/>
      <c r="AG19" s="270"/>
      <c r="AH19" s="259"/>
      <c r="AI19" s="260"/>
      <c r="AJ19" s="260"/>
      <c r="AK19" s="260"/>
      <c r="AL19" s="260"/>
      <c r="AM19" s="261"/>
      <c r="AN19" s="82"/>
      <c r="AO19" s="302"/>
      <c r="AP19" s="303"/>
      <c r="AQ19" s="303"/>
      <c r="AR19" s="303"/>
      <c r="AS19" s="303"/>
      <c r="AT19" s="304"/>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c r="A20" s="82"/>
      <c r="B20" s="288"/>
      <c r="C20" s="288"/>
      <c r="D20" s="289"/>
      <c r="E20" s="281"/>
      <c r="F20" s="282"/>
      <c r="G20" s="282"/>
      <c r="H20" s="282"/>
      <c r="I20" s="282"/>
      <c r="J20" s="250" t="str">
        <f>IF(AND('Mapa final'!$H$64="Alta",'Mapa final'!$L$64="Leve"),CONCATENATE("R",'Mapa final'!$A$64),"")</f>
        <v/>
      </c>
      <c r="K20" s="251"/>
      <c r="L20" s="251" t="str">
        <f>IF(AND('Mapa final'!$H$70="Alta",'Mapa final'!$L$70="Leve"),CONCATENATE("R",'Mapa final'!$A$70),"")</f>
        <v/>
      </c>
      <c r="M20" s="251"/>
      <c r="N20" s="251" t="str">
        <f>IF(AND('Mapa final'!$H$76="Alta",'Mapa final'!$L$76="Leve"),CONCATENATE("R",'Mapa final'!$A$76),"")</f>
        <v/>
      </c>
      <c r="O20" s="252"/>
      <c r="P20" s="250" t="str">
        <f>IF(AND('Mapa final'!$H$64="Alta",'Mapa final'!$L$64="Menor"),CONCATENATE("R",'Mapa final'!$A$64),"")</f>
        <v/>
      </c>
      <c r="Q20" s="251"/>
      <c r="R20" s="251" t="str">
        <f>IF(AND('Mapa final'!$H$70="Alta",'Mapa final'!$L$70="Menor"),CONCATENATE("R",'Mapa final'!$A$70),"")</f>
        <v/>
      </c>
      <c r="S20" s="251"/>
      <c r="T20" s="251" t="str">
        <f>IF(AND('Mapa final'!$H$76="Alta",'Mapa final'!$L$76="Menor"),CONCATENATE("R",'Mapa final'!$A$76),"")</f>
        <v/>
      </c>
      <c r="U20" s="252"/>
      <c r="V20" s="268" t="str">
        <f>IF(AND('Mapa final'!$H$64="Alta",'Mapa final'!$L$64="Moderado"),CONCATENATE("R",'Mapa final'!$A$64),"")</f>
        <v/>
      </c>
      <c r="W20" s="269"/>
      <c r="X20" s="269" t="str">
        <f>IF(AND('Mapa final'!$H$70="Alta",'Mapa final'!$L$70="Moderado"),CONCATENATE("R",'Mapa final'!$A$70),"")</f>
        <v/>
      </c>
      <c r="Y20" s="269"/>
      <c r="Z20" s="269" t="str">
        <f>IF(AND('Mapa final'!$H$76="Alta",'Mapa final'!$L$76="Moderado"),CONCATENATE("R",'Mapa final'!$A$76),"")</f>
        <v/>
      </c>
      <c r="AA20" s="270"/>
      <c r="AB20" s="268" t="str">
        <f>IF(AND('Mapa final'!$H$64="Alta",'Mapa final'!$L$64="Mayor"),CONCATENATE("R",'Mapa final'!$A$64),"")</f>
        <v/>
      </c>
      <c r="AC20" s="269"/>
      <c r="AD20" s="269" t="str">
        <f>IF(AND('Mapa final'!$H$70="Alta",'Mapa final'!$L$70="Mayor"),CONCATENATE("R",'Mapa final'!$A$70),"")</f>
        <v/>
      </c>
      <c r="AE20" s="269"/>
      <c r="AF20" s="269" t="str">
        <f>IF(AND('Mapa final'!$H$76="Alta",'Mapa final'!$L$76="Mayor"),CONCATENATE("R",'Mapa final'!$A$76),"")</f>
        <v/>
      </c>
      <c r="AG20" s="270"/>
      <c r="AH20" s="259" t="str">
        <f>IF(AND('Mapa final'!$H$64="Alta",'Mapa final'!$L$64="Catastrófico"),CONCATENATE("R",'Mapa final'!$A$64),"")</f>
        <v/>
      </c>
      <c r="AI20" s="260"/>
      <c r="AJ20" s="260" t="str">
        <f>IF(AND('Mapa final'!$H$70="Alta",'Mapa final'!$L$70="Catastrófico"),CONCATENATE("R",'Mapa final'!$A$70),"")</f>
        <v/>
      </c>
      <c r="AK20" s="260"/>
      <c r="AL20" s="260" t="str">
        <f>IF(AND('Mapa final'!$H$76="Alta",'Mapa final'!$L$76="Catastrófico"),CONCATENATE("R",'Mapa final'!$A$76),"")</f>
        <v/>
      </c>
      <c r="AM20" s="261"/>
      <c r="AN20" s="82"/>
      <c r="AO20" s="302"/>
      <c r="AP20" s="303"/>
      <c r="AQ20" s="303"/>
      <c r="AR20" s="303"/>
      <c r="AS20" s="303"/>
      <c r="AT20" s="304"/>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c r="A21" s="82"/>
      <c r="B21" s="288"/>
      <c r="C21" s="288"/>
      <c r="D21" s="289"/>
      <c r="E21" s="284"/>
      <c r="F21" s="285"/>
      <c r="G21" s="285"/>
      <c r="H21" s="285"/>
      <c r="I21" s="285"/>
      <c r="J21" s="253"/>
      <c r="K21" s="254"/>
      <c r="L21" s="254"/>
      <c r="M21" s="254"/>
      <c r="N21" s="254"/>
      <c r="O21" s="255"/>
      <c r="P21" s="253"/>
      <c r="Q21" s="254"/>
      <c r="R21" s="254"/>
      <c r="S21" s="254"/>
      <c r="T21" s="254"/>
      <c r="U21" s="255"/>
      <c r="V21" s="271"/>
      <c r="W21" s="272"/>
      <c r="X21" s="272"/>
      <c r="Y21" s="272"/>
      <c r="Z21" s="272"/>
      <c r="AA21" s="273"/>
      <c r="AB21" s="271"/>
      <c r="AC21" s="272"/>
      <c r="AD21" s="272"/>
      <c r="AE21" s="272"/>
      <c r="AF21" s="272"/>
      <c r="AG21" s="273"/>
      <c r="AH21" s="262"/>
      <c r="AI21" s="263"/>
      <c r="AJ21" s="263"/>
      <c r="AK21" s="263"/>
      <c r="AL21" s="263"/>
      <c r="AM21" s="264"/>
      <c r="AN21" s="82"/>
      <c r="AO21" s="305"/>
      <c r="AP21" s="306"/>
      <c r="AQ21" s="306"/>
      <c r="AR21" s="306"/>
      <c r="AS21" s="306"/>
      <c r="AT21" s="307"/>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c r="A22" s="82"/>
      <c r="B22" s="288"/>
      <c r="C22" s="288"/>
      <c r="D22" s="289"/>
      <c r="E22" s="278" t="s">
        <v>171</v>
      </c>
      <c r="F22" s="279"/>
      <c r="G22" s="279"/>
      <c r="H22" s="279"/>
      <c r="I22" s="280"/>
      <c r="J22" s="256" t="str">
        <f>IF(AND('Mapa final'!$H$10="Media",'Mapa final'!$L$10="Leve"),CONCATENATE("R",'Mapa final'!$A$10),"")</f>
        <v/>
      </c>
      <c r="K22" s="257"/>
      <c r="L22" s="257" t="str">
        <f>IF(AND('Mapa final'!$H$16="Media",'Mapa final'!$L$16="Leve"),CONCATENATE("R",'Mapa final'!$A$16),"")</f>
        <v/>
      </c>
      <c r="M22" s="257"/>
      <c r="N22" s="257" t="str">
        <f>IF(AND('Mapa final'!$H$22="Media",'Mapa final'!$L$22="Leve"),CONCATENATE("R",'Mapa final'!$A$22),"")</f>
        <v/>
      </c>
      <c r="O22" s="258"/>
      <c r="P22" s="256" t="str">
        <f>IF(AND('Mapa final'!$H$10="Media",'Mapa final'!$L$10="Menor"),CONCATENATE("R",'Mapa final'!$A$10),"")</f>
        <v/>
      </c>
      <c r="Q22" s="257"/>
      <c r="R22" s="257" t="str">
        <f>IF(AND('Mapa final'!$H$16="Media",'Mapa final'!$L$16="Menor"),CONCATENATE("R",'Mapa final'!$A$16),"")</f>
        <v/>
      </c>
      <c r="S22" s="257"/>
      <c r="T22" s="257" t="str">
        <f>IF(AND('Mapa final'!$H$22="Media",'Mapa final'!$L$22="Menor"),CONCATENATE("R",'Mapa final'!$A$22),"")</f>
        <v/>
      </c>
      <c r="U22" s="258"/>
      <c r="V22" s="256" t="str">
        <f>IF(AND('Mapa final'!$H$10="Media",'Mapa final'!$L$10="Moderado"),CONCATENATE("R",'Mapa final'!$A$10),"")</f>
        <v/>
      </c>
      <c r="W22" s="257"/>
      <c r="X22" s="257" t="str">
        <f>IF(AND('Mapa final'!$H$16="Media",'Mapa final'!$L$16="Moderado"),CONCATENATE("R",'Mapa final'!$A$16),"")</f>
        <v/>
      </c>
      <c r="Y22" s="257"/>
      <c r="Z22" s="257" t="str">
        <f>IF(AND('Mapa final'!$H$22="Media",'Mapa final'!$L$22="Moderado"),CONCATENATE("R",'Mapa final'!$A$22),"")</f>
        <v/>
      </c>
      <c r="AA22" s="258"/>
      <c r="AB22" s="274" t="str">
        <f>IF(AND('Mapa final'!$H$10="Media",'Mapa final'!$L$10="Mayor"),CONCATENATE("R",'Mapa final'!$A$10),"")</f>
        <v/>
      </c>
      <c r="AC22" s="275"/>
      <c r="AD22" s="275" t="str">
        <f>IF(AND('Mapa final'!$H$16="Media",'Mapa final'!$L$16="Mayor"),CONCATENATE("R",'Mapa final'!$A$16),"")</f>
        <v/>
      </c>
      <c r="AE22" s="275"/>
      <c r="AF22" s="275" t="str">
        <f>IF(AND('Mapa final'!$H$22="Media",'Mapa final'!$L$22="Mayor"),CONCATENATE("R",'Mapa final'!$A$22),"")</f>
        <v/>
      </c>
      <c r="AG22" s="276"/>
      <c r="AH22" s="265" t="str">
        <f>IF(AND('Mapa final'!$H$10="Media",'Mapa final'!$L$10="Catastrófico"),CONCATENATE("R",'Mapa final'!$A$10),"")</f>
        <v/>
      </c>
      <c r="AI22" s="266"/>
      <c r="AJ22" s="266" t="str">
        <f>IF(AND('Mapa final'!$H$16="Media",'Mapa final'!$L$16="Catastrófico"),CONCATENATE("R",'Mapa final'!$A$16),"")</f>
        <v/>
      </c>
      <c r="AK22" s="266"/>
      <c r="AL22" s="266" t="str">
        <f>IF(AND('Mapa final'!$H$22="Media",'Mapa final'!$L$22="Catastrófico"),CONCATENATE("R",'Mapa final'!$A$22),"")</f>
        <v/>
      </c>
      <c r="AM22" s="267"/>
      <c r="AN22" s="82"/>
      <c r="AO22" s="308" t="s">
        <v>172</v>
      </c>
      <c r="AP22" s="309"/>
      <c r="AQ22" s="309"/>
      <c r="AR22" s="309"/>
      <c r="AS22" s="309"/>
      <c r="AT22" s="310"/>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c r="A23" s="82"/>
      <c r="B23" s="288"/>
      <c r="C23" s="288"/>
      <c r="D23" s="289"/>
      <c r="E23" s="281"/>
      <c r="F23" s="282"/>
      <c r="G23" s="282"/>
      <c r="H23" s="282"/>
      <c r="I23" s="283"/>
      <c r="J23" s="250"/>
      <c r="K23" s="251"/>
      <c r="L23" s="251"/>
      <c r="M23" s="251"/>
      <c r="N23" s="251"/>
      <c r="O23" s="252"/>
      <c r="P23" s="250"/>
      <c r="Q23" s="251"/>
      <c r="R23" s="251"/>
      <c r="S23" s="251"/>
      <c r="T23" s="251"/>
      <c r="U23" s="252"/>
      <c r="V23" s="250"/>
      <c r="W23" s="251"/>
      <c r="X23" s="251"/>
      <c r="Y23" s="251"/>
      <c r="Z23" s="251"/>
      <c r="AA23" s="252"/>
      <c r="AB23" s="268"/>
      <c r="AC23" s="269"/>
      <c r="AD23" s="269"/>
      <c r="AE23" s="269"/>
      <c r="AF23" s="269"/>
      <c r="AG23" s="270"/>
      <c r="AH23" s="259"/>
      <c r="AI23" s="260"/>
      <c r="AJ23" s="260"/>
      <c r="AK23" s="260"/>
      <c r="AL23" s="260"/>
      <c r="AM23" s="261"/>
      <c r="AN23" s="82"/>
      <c r="AO23" s="311"/>
      <c r="AP23" s="312"/>
      <c r="AQ23" s="312"/>
      <c r="AR23" s="312"/>
      <c r="AS23" s="312"/>
      <c r="AT23" s="313"/>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c r="A24" s="82"/>
      <c r="B24" s="288"/>
      <c r="C24" s="288"/>
      <c r="D24" s="289"/>
      <c r="E24" s="281"/>
      <c r="F24" s="282"/>
      <c r="G24" s="282"/>
      <c r="H24" s="282"/>
      <c r="I24" s="283"/>
      <c r="J24" s="250" t="str">
        <f>IF(AND('Mapa final'!$H$28="Media",'Mapa final'!$L$28="Leve"),CONCATENATE("R",'Mapa final'!$A$28),"")</f>
        <v/>
      </c>
      <c r="K24" s="251"/>
      <c r="L24" s="251" t="str">
        <f>IF(AND('Mapa final'!$H$34="Media",'Mapa final'!$L$34="Leve"),CONCATENATE("R",'Mapa final'!$A$34),"")</f>
        <v/>
      </c>
      <c r="M24" s="251"/>
      <c r="N24" s="251" t="str">
        <f>IF(AND('Mapa final'!$H$40="Media",'Mapa final'!$L$40="Leve"),CONCATENATE("R",'Mapa final'!$A$40),"")</f>
        <v/>
      </c>
      <c r="O24" s="252"/>
      <c r="P24" s="250" t="str">
        <f>IF(AND('Mapa final'!$H$28="Media",'Mapa final'!$L$28="Menor"),CONCATENATE("R",'Mapa final'!$A$28),"")</f>
        <v/>
      </c>
      <c r="Q24" s="251"/>
      <c r="R24" s="251" t="str">
        <f>IF(AND('Mapa final'!$H$34="Media",'Mapa final'!$L$34="Menor"),CONCATENATE("R",'Mapa final'!$A$34),"")</f>
        <v/>
      </c>
      <c r="S24" s="251"/>
      <c r="T24" s="251" t="str">
        <f>IF(AND('Mapa final'!$H$40="Media",'Mapa final'!$L$40="Menor"),CONCATENATE("R",'Mapa final'!$A$40),"")</f>
        <v/>
      </c>
      <c r="U24" s="252"/>
      <c r="V24" s="250" t="str">
        <f>IF(AND('Mapa final'!$H$28="Media",'Mapa final'!$L$28="Moderado"),CONCATENATE("R",'Mapa final'!$A$28),"")</f>
        <v/>
      </c>
      <c r="W24" s="251"/>
      <c r="X24" s="251" t="str">
        <f>IF(AND('Mapa final'!$H$34="Media",'Mapa final'!$L$34="Moderado"),CONCATENATE("R",'Mapa final'!$A$34),"")</f>
        <v/>
      </c>
      <c r="Y24" s="251"/>
      <c r="Z24" s="251" t="str">
        <f>IF(AND('Mapa final'!$H$40="Media",'Mapa final'!$L$40="Moderado"),CONCATENATE("R",'Mapa final'!$A$40),"")</f>
        <v/>
      </c>
      <c r="AA24" s="252"/>
      <c r="AB24" s="268" t="str">
        <f>IF(AND('Mapa final'!$H$28="Media",'Mapa final'!$L$28="Mayor"),CONCATENATE("R",'Mapa final'!$A$28),"")</f>
        <v/>
      </c>
      <c r="AC24" s="269"/>
      <c r="AD24" s="269" t="str">
        <f>IF(AND('Mapa final'!$H$34="Media",'Mapa final'!$L$34="Mayor"),CONCATENATE("R",'Mapa final'!$A$34),"")</f>
        <v/>
      </c>
      <c r="AE24" s="269"/>
      <c r="AF24" s="269" t="str">
        <f>IF(AND('Mapa final'!$H$40="Media",'Mapa final'!$L$40="Mayor"),CONCATENATE("R",'Mapa final'!$A$40),"")</f>
        <v/>
      </c>
      <c r="AG24" s="270"/>
      <c r="AH24" s="259" t="str">
        <f>IF(AND('Mapa final'!$H$28="Media",'Mapa final'!$L$28="Catastrófico"),CONCATENATE("R",'Mapa final'!$A$28),"")</f>
        <v/>
      </c>
      <c r="AI24" s="260"/>
      <c r="AJ24" s="260" t="str">
        <f>IF(AND('Mapa final'!$H$34="Media",'Mapa final'!$L$34="Catastrófico"),CONCATENATE("R",'Mapa final'!$A$34),"")</f>
        <v/>
      </c>
      <c r="AK24" s="260"/>
      <c r="AL24" s="260" t="str">
        <f>IF(AND('Mapa final'!$H$40="Media",'Mapa final'!$L$40="Catastrófico"),CONCATENATE("R",'Mapa final'!$A$40),"")</f>
        <v/>
      </c>
      <c r="AM24" s="261"/>
      <c r="AN24" s="82"/>
      <c r="AO24" s="311"/>
      <c r="AP24" s="312"/>
      <c r="AQ24" s="312"/>
      <c r="AR24" s="312"/>
      <c r="AS24" s="312"/>
      <c r="AT24" s="313"/>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c r="A25" s="82"/>
      <c r="B25" s="288"/>
      <c r="C25" s="288"/>
      <c r="D25" s="289"/>
      <c r="E25" s="281"/>
      <c r="F25" s="282"/>
      <c r="G25" s="282"/>
      <c r="H25" s="282"/>
      <c r="I25" s="283"/>
      <c r="J25" s="250"/>
      <c r="K25" s="251"/>
      <c r="L25" s="251"/>
      <c r="M25" s="251"/>
      <c r="N25" s="251"/>
      <c r="O25" s="252"/>
      <c r="P25" s="250"/>
      <c r="Q25" s="251"/>
      <c r="R25" s="251"/>
      <c r="S25" s="251"/>
      <c r="T25" s="251"/>
      <c r="U25" s="252"/>
      <c r="V25" s="250"/>
      <c r="W25" s="251"/>
      <c r="X25" s="251"/>
      <c r="Y25" s="251"/>
      <c r="Z25" s="251"/>
      <c r="AA25" s="252"/>
      <c r="AB25" s="268"/>
      <c r="AC25" s="269"/>
      <c r="AD25" s="269"/>
      <c r="AE25" s="269"/>
      <c r="AF25" s="269"/>
      <c r="AG25" s="270"/>
      <c r="AH25" s="259"/>
      <c r="AI25" s="260"/>
      <c r="AJ25" s="260"/>
      <c r="AK25" s="260"/>
      <c r="AL25" s="260"/>
      <c r="AM25" s="261"/>
      <c r="AN25" s="82"/>
      <c r="AO25" s="311"/>
      <c r="AP25" s="312"/>
      <c r="AQ25" s="312"/>
      <c r="AR25" s="312"/>
      <c r="AS25" s="312"/>
      <c r="AT25" s="313"/>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c r="A26" s="82"/>
      <c r="B26" s="288"/>
      <c r="C26" s="288"/>
      <c r="D26" s="289"/>
      <c r="E26" s="281"/>
      <c r="F26" s="282"/>
      <c r="G26" s="282"/>
      <c r="H26" s="282"/>
      <c r="I26" s="283"/>
      <c r="J26" s="250" t="str">
        <f>IF(AND('Mapa final'!$H$46="Media",'Mapa final'!$L$46="Leve"),CONCATENATE("R",'Mapa final'!$A$46),"")</f>
        <v/>
      </c>
      <c r="K26" s="251"/>
      <c r="L26" s="251" t="str">
        <f>IF(AND('Mapa final'!$H$52="Media",'Mapa final'!$L$52="Leve"),CONCATENATE("R",'Mapa final'!$A$52),"")</f>
        <v/>
      </c>
      <c r="M26" s="251"/>
      <c r="N26" s="251" t="str">
        <f>IF(AND('Mapa final'!$H$58="Media",'Mapa final'!$L$58="Leve"),CONCATENATE("R",'Mapa final'!$A$58),"")</f>
        <v/>
      </c>
      <c r="O26" s="252"/>
      <c r="P26" s="250" t="str">
        <f>IF(AND('Mapa final'!$H$46="Media",'Mapa final'!$L$46="Menor"),CONCATENATE("R",'Mapa final'!$A$46),"")</f>
        <v/>
      </c>
      <c r="Q26" s="251"/>
      <c r="R26" s="251" t="str">
        <f>IF(AND('Mapa final'!$H$52="Media",'Mapa final'!$L$52="Menor"),CONCATENATE("R",'Mapa final'!$A$52),"")</f>
        <v/>
      </c>
      <c r="S26" s="251"/>
      <c r="T26" s="251" t="str">
        <f>IF(AND('Mapa final'!$H$58="Media",'Mapa final'!$L$58="Menor"),CONCATENATE("R",'Mapa final'!$A$58),"")</f>
        <v/>
      </c>
      <c r="U26" s="252"/>
      <c r="V26" s="250" t="str">
        <f>IF(AND('Mapa final'!$H$46="Media",'Mapa final'!$L$46="Moderado"),CONCATENATE("R",'Mapa final'!$A$46),"")</f>
        <v/>
      </c>
      <c r="W26" s="251"/>
      <c r="X26" s="251" t="str">
        <f>IF(AND('Mapa final'!$H$52="Media",'Mapa final'!$L$52="Moderado"),CONCATENATE("R",'Mapa final'!$A$52),"")</f>
        <v/>
      </c>
      <c r="Y26" s="251"/>
      <c r="Z26" s="251" t="str">
        <f>IF(AND('Mapa final'!$H$58="Media",'Mapa final'!$L$58="Moderado"),CONCATENATE("R",'Mapa final'!$A$58),"")</f>
        <v/>
      </c>
      <c r="AA26" s="252"/>
      <c r="AB26" s="268" t="str">
        <f>IF(AND('Mapa final'!$H$46="Media",'Mapa final'!$L$46="Mayor"),CONCATENATE("R",'Mapa final'!$A$46),"")</f>
        <v/>
      </c>
      <c r="AC26" s="269"/>
      <c r="AD26" s="269" t="str">
        <f>IF(AND('Mapa final'!$H$52="Media",'Mapa final'!$L$52="Mayor"),CONCATENATE("R",'Mapa final'!$A$52),"")</f>
        <v/>
      </c>
      <c r="AE26" s="269"/>
      <c r="AF26" s="269" t="str">
        <f>IF(AND('Mapa final'!$H$58="Media",'Mapa final'!$L$58="Mayor"),CONCATENATE("R",'Mapa final'!$A$58),"")</f>
        <v/>
      </c>
      <c r="AG26" s="270"/>
      <c r="AH26" s="259" t="str">
        <f>IF(AND('Mapa final'!$H$46="Media",'Mapa final'!$L$46="Catastrófico"),CONCATENATE("R",'Mapa final'!$A$46),"")</f>
        <v/>
      </c>
      <c r="AI26" s="260"/>
      <c r="AJ26" s="260" t="str">
        <f>IF(AND('Mapa final'!$H$52="Media",'Mapa final'!$L$52="Catastrófico"),CONCATENATE("R",'Mapa final'!$A$52),"")</f>
        <v/>
      </c>
      <c r="AK26" s="260"/>
      <c r="AL26" s="260" t="str">
        <f>IF(AND('Mapa final'!$H$58="Media",'Mapa final'!$L$58="Catastrófico"),CONCATENATE("R",'Mapa final'!$A$58),"")</f>
        <v/>
      </c>
      <c r="AM26" s="261"/>
      <c r="AN26" s="82"/>
      <c r="AO26" s="311"/>
      <c r="AP26" s="312"/>
      <c r="AQ26" s="312"/>
      <c r="AR26" s="312"/>
      <c r="AS26" s="312"/>
      <c r="AT26" s="313"/>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c r="A27" s="82"/>
      <c r="B27" s="288"/>
      <c r="C27" s="288"/>
      <c r="D27" s="289"/>
      <c r="E27" s="281"/>
      <c r="F27" s="282"/>
      <c r="G27" s="282"/>
      <c r="H27" s="282"/>
      <c r="I27" s="283"/>
      <c r="J27" s="250"/>
      <c r="K27" s="251"/>
      <c r="L27" s="251"/>
      <c r="M27" s="251"/>
      <c r="N27" s="251"/>
      <c r="O27" s="252"/>
      <c r="P27" s="250"/>
      <c r="Q27" s="251"/>
      <c r="R27" s="251"/>
      <c r="S27" s="251"/>
      <c r="T27" s="251"/>
      <c r="U27" s="252"/>
      <c r="V27" s="250"/>
      <c r="W27" s="251"/>
      <c r="X27" s="251"/>
      <c r="Y27" s="251"/>
      <c r="Z27" s="251"/>
      <c r="AA27" s="252"/>
      <c r="AB27" s="268"/>
      <c r="AC27" s="269"/>
      <c r="AD27" s="269"/>
      <c r="AE27" s="269"/>
      <c r="AF27" s="269"/>
      <c r="AG27" s="270"/>
      <c r="AH27" s="259"/>
      <c r="AI27" s="260"/>
      <c r="AJ27" s="260"/>
      <c r="AK27" s="260"/>
      <c r="AL27" s="260"/>
      <c r="AM27" s="261"/>
      <c r="AN27" s="82"/>
      <c r="AO27" s="311"/>
      <c r="AP27" s="312"/>
      <c r="AQ27" s="312"/>
      <c r="AR27" s="312"/>
      <c r="AS27" s="312"/>
      <c r="AT27" s="313"/>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c r="A28" s="82"/>
      <c r="B28" s="288"/>
      <c r="C28" s="288"/>
      <c r="D28" s="289"/>
      <c r="E28" s="281"/>
      <c r="F28" s="282"/>
      <c r="G28" s="282"/>
      <c r="H28" s="282"/>
      <c r="I28" s="283"/>
      <c r="J28" s="250" t="str">
        <f>IF(AND('Mapa final'!$H$64="Media",'Mapa final'!$L$64="Leve"),CONCATENATE("R",'Mapa final'!$A$64),"")</f>
        <v/>
      </c>
      <c r="K28" s="251"/>
      <c r="L28" s="251" t="str">
        <f>IF(AND('Mapa final'!$H$70="Media",'Mapa final'!$L$70="Leve"),CONCATENATE("R",'Mapa final'!$A$70),"")</f>
        <v/>
      </c>
      <c r="M28" s="251"/>
      <c r="N28" s="251" t="str">
        <f>IF(AND('Mapa final'!$H$76="Media",'Mapa final'!$L$76="Leve"),CONCATENATE("R",'Mapa final'!$A$76),"")</f>
        <v/>
      </c>
      <c r="O28" s="252"/>
      <c r="P28" s="250" t="str">
        <f>IF(AND('Mapa final'!$H$64="Media",'Mapa final'!$L$64="Menor"),CONCATENATE("R",'Mapa final'!$A$64),"")</f>
        <v/>
      </c>
      <c r="Q28" s="251"/>
      <c r="R28" s="251" t="str">
        <f>IF(AND('Mapa final'!$H$70="Media",'Mapa final'!$L$70="Menor"),CONCATENATE("R",'Mapa final'!$A$70),"")</f>
        <v/>
      </c>
      <c r="S28" s="251"/>
      <c r="T28" s="251" t="str">
        <f>IF(AND('Mapa final'!$H$76="Media",'Mapa final'!$L$76="Menor"),CONCATENATE("R",'Mapa final'!$A$76),"")</f>
        <v/>
      </c>
      <c r="U28" s="252"/>
      <c r="V28" s="250" t="str">
        <f>IF(AND('Mapa final'!$H$64="Media",'Mapa final'!$L$64="Moderado"),CONCATENATE("R",'Mapa final'!$A$64),"")</f>
        <v/>
      </c>
      <c r="W28" s="251"/>
      <c r="X28" s="251" t="str">
        <f>IF(AND('Mapa final'!$H$70="Media",'Mapa final'!$L$70="Moderado"),CONCATENATE("R",'Mapa final'!$A$70),"")</f>
        <v/>
      </c>
      <c r="Y28" s="251"/>
      <c r="Z28" s="251" t="str">
        <f>IF(AND('Mapa final'!$H$76="Media",'Mapa final'!$L$76="Moderado"),CONCATENATE("R",'Mapa final'!$A$76),"")</f>
        <v/>
      </c>
      <c r="AA28" s="252"/>
      <c r="AB28" s="268" t="str">
        <f>IF(AND('Mapa final'!$H$64="Media",'Mapa final'!$L$64="Mayor"),CONCATENATE("R",'Mapa final'!$A$64),"")</f>
        <v/>
      </c>
      <c r="AC28" s="269"/>
      <c r="AD28" s="269" t="str">
        <f>IF(AND('Mapa final'!$H$70="Media",'Mapa final'!$L$70="Mayor"),CONCATENATE("R",'Mapa final'!$A$70),"")</f>
        <v/>
      </c>
      <c r="AE28" s="269"/>
      <c r="AF28" s="269" t="str">
        <f>IF(AND('Mapa final'!$H$76="Media",'Mapa final'!$L$76="Mayor"),CONCATENATE("R",'Mapa final'!$A$76),"")</f>
        <v/>
      </c>
      <c r="AG28" s="270"/>
      <c r="AH28" s="259" t="str">
        <f>IF(AND('Mapa final'!$H$64="Media",'Mapa final'!$L$64="Catastrófico"),CONCATENATE("R",'Mapa final'!$A$64),"")</f>
        <v/>
      </c>
      <c r="AI28" s="260"/>
      <c r="AJ28" s="260" t="str">
        <f>IF(AND('Mapa final'!$H$70="Media",'Mapa final'!$L$70="Catastrófico"),CONCATENATE("R",'Mapa final'!$A$70),"")</f>
        <v/>
      </c>
      <c r="AK28" s="260"/>
      <c r="AL28" s="260" t="str">
        <f>IF(AND('Mapa final'!$H$76="Media",'Mapa final'!$L$76="Catastrófico"),CONCATENATE("R",'Mapa final'!$A$76),"")</f>
        <v/>
      </c>
      <c r="AM28" s="261"/>
      <c r="AN28" s="82"/>
      <c r="AO28" s="311"/>
      <c r="AP28" s="312"/>
      <c r="AQ28" s="312"/>
      <c r="AR28" s="312"/>
      <c r="AS28" s="312"/>
      <c r="AT28" s="313"/>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c r="A29" s="82"/>
      <c r="B29" s="288"/>
      <c r="C29" s="288"/>
      <c r="D29" s="289"/>
      <c r="E29" s="284"/>
      <c r="F29" s="285"/>
      <c r="G29" s="285"/>
      <c r="H29" s="285"/>
      <c r="I29" s="286"/>
      <c r="J29" s="250"/>
      <c r="K29" s="251"/>
      <c r="L29" s="251"/>
      <c r="M29" s="251"/>
      <c r="N29" s="251"/>
      <c r="O29" s="252"/>
      <c r="P29" s="253"/>
      <c r="Q29" s="254"/>
      <c r="R29" s="254"/>
      <c r="S29" s="254"/>
      <c r="T29" s="254"/>
      <c r="U29" s="255"/>
      <c r="V29" s="253"/>
      <c r="W29" s="254"/>
      <c r="X29" s="254"/>
      <c r="Y29" s="254"/>
      <c r="Z29" s="254"/>
      <c r="AA29" s="255"/>
      <c r="AB29" s="271"/>
      <c r="AC29" s="272"/>
      <c r="AD29" s="272"/>
      <c r="AE29" s="272"/>
      <c r="AF29" s="272"/>
      <c r="AG29" s="273"/>
      <c r="AH29" s="262"/>
      <c r="AI29" s="263"/>
      <c r="AJ29" s="263"/>
      <c r="AK29" s="263"/>
      <c r="AL29" s="263"/>
      <c r="AM29" s="264"/>
      <c r="AN29" s="82"/>
      <c r="AO29" s="314"/>
      <c r="AP29" s="315"/>
      <c r="AQ29" s="315"/>
      <c r="AR29" s="315"/>
      <c r="AS29" s="315"/>
      <c r="AT29" s="316"/>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c r="A30" s="82"/>
      <c r="B30" s="288"/>
      <c r="C30" s="288"/>
      <c r="D30" s="289"/>
      <c r="E30" s="278" t="s">
        <v>173</v>
      </c>
      <c r="F30" s="279"/>
      <c r="G30" s="279"/>
      <c r="H30" s="279"/>
      <c r="I30" s="279"/>
      <c r="J30" s="247" t="str">
        <f>IF(AND('Mapa final'!$H$10="Baja",'Mapa final'!$L$10="Leve"),CONCATENATE("R",'Mapa final'!$A$10),"")</f>
        <v/>
      </c>
      <c r="K30" s="248"/>
      <c r="L30" s="248" t="str">
        <f>IF(AND('Mapa final'!$H$16="Baja",'Mapa final'!$L$16="Leve"),CONCATENATE("R",'Mapa final'!$A$16),"")</f>
        <v/>
      </c>
      <c r="M30" s="248"/>
      <c r="N30" s="248" t="str">
        <f>IF(AND('Mapa final'!$H$22="Baja",'Mapa final'!$L$22="Leve"),CONCATENATE("R",'Mapa final'!$A$22),"")</f>
        <v/>
      </c>
      <c r="O30" s="249"/>
      <c r="P30" s="257" t="str">
        <f>IF(AND('Mapa final'!$H$10="Baja",'Mapa final'!$L$10="Menor"),CONCATENATE("R",'Mapa final'!$A$10),"")</f>
        <v/>
      </c>
      <c r="Q30" s="257"/>
      <c r="R30" s="257" t="str">
        <f>IF(AND('Mapa final'!$H$16="Baja",'Mapa final'!$L$16="Menor"),CONCATENATE("R",'Mapa final'!$A$16),"")</f>
        <v/>
      </c>
      <c r="S30" s="257"/>
      <c r="T30" s="257" t="str">
        <f>IF(AND('Mapa final'!$H$22="Baja",'Mapa final'!$L$22="Menor"),CONCATENATE("R",'Mapa final'!$A$22),"")</f>
        <v/>
      </c>
      <c r="U30" s="258"/>
      <c r="V30" s="256" t="str">
        <f>IF(AND('Mapa final'!$H$10="Baja",'Mapa final'!$L$10="Moderado"),CONCATENATE("R",'Mapa final'!$A$10),"")</f>
        <v/>
      </c>
      <c r="W30" s="257"/>
      <c r="X30" s="257" t="str">
        <f>IF(AND('Mapa final'!$H$16="Baja",'Mapa final'!$L$16="Moderado"),CONCATENATE("R",'Mapa final'!$A$16),"")</f>
        <v/>
      </c>
      <c r="Y30" s="257"/>
      <c r="Z30" s="257" t="str">
        <f>IF(AND('Mapa final'!$H$22="Baja",'Mapa final'!$L$22="Moderado"),CONCATENATE("R",'Mapa final'!$A$22),"")</f>
        <v/>
      </c>
      <c r="AA30" s="258"/>
      <c r="AB30" s="274" t="str">
        <f>IF(AND('Mapa final'!$H$10="Baja",'Mapa final'!$L$10="Mayor"),CONCATENATE("R",'Mapa final'!$A$10),"")</f>
        <v/>
      </c>
      <c r="AC30" s="275"/>
      <c r="AD30" s="275" t="str">
        <f>IF(AND('Mapa final'!$H$16="Baja",'Mapa final'!$L$16="Mayor"),CONCATENATE("R",'Mapa final'!$A$16),"")</f>
        <v/>
      </c>
      <c r="AE30" s="275"/>
      <c r="AF30" s="275" t="str">
        <f>IF(AND('Mapa final'!$H$22="Baja",'Mapa final'!$L$22="Mayor"),CONCATENATE("R",'Mapa final'!$A$22),"")</f>
        <v/>
      </c>
      <c r="AG30" s="276"/>
      <c r="AH30" s="265" t="str">
        <f>IF(AND('Mapa final'!$H$10="Baja",'Mapa final'!$L$10="Catastrófico"),CONCATENATE("R",'Mapa final'!$A$10),"")</f>
        <v/>
      </c>
      <c r="AI30" s="266"/>
      <c r="AJ30" s="266" t="str">
        <f>IF(AND('Mapa final'!$H$16="Baja",'Mapa final'!$L$16="Catastrófico"),CONCATENATE("R",'Mapa final'!$A$16),"")</f>
        <v/>
      </c>
      <c r="AK30" s="266"/>
      <c r="AL30" s="266" t="str">
        <f>IF(AND('Mapa final'!$H$22="Baja",'Mapa final'!$L$22="Catastrófico"),CONCATENATE("R",'Mapa final'!$A$22),"")</f>
        <v/>
      </c>
      <c r="AM30" s="267"/>
      <c r="AN30" s="82"/>
      <c r="AO30" s="317" t="s">
        <v>174</v>
      </c>
      <c r="AP30" s="318"/>
      <c r="AQ30" s="318"/>
      <c r="AR30" s="318"/>
      <c r="AS30" s="318"/>
      <c r="AT30" s="319"/>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c r="A31" s="82"/>
      <c r="B31" s="288"/>
      <c r="C31" s="288"/>
      <c r="D31" s="289"/>
      <c r="E31" s="281"/>
      <c r="F31" s="282"/>
      <c r="G31" s="282"/>
      <c r="H31" s="282"/>
      <c r="I31" s="282"/>
      <c r="J31" s="241"/>
      <c r="K31" s="242"/>
      <c r="L31" s="242"/>
      <c r="M31" s="242"/>
      <c r="N31" s="242"/>
      <c r="O31" s="243"/>
      <c r="P31" s="251"/>
      <c r="Q31" s="251"/>
      <c r="R31" s="251"/>
      <c r="S31" s="251"/>
      <c r="T31" s="251"/>
      <c r="U31" s="252"/>
      <c r="V31" s="250"/>
      <c r="W31" s="251"/>
      <c r="X31" s="251"/>
      <c r="Y31" s="251"/>
      <c r="Z31" s="251"/>
      <c r="AA31" s="252"/>
      <c r="AB31" s="268"/>
      <c r="AC31" s="269"/>
      <c r="AD31" s="269"/>
      <c r="AE31" s="269"/>
      <c r="AF31" s="269"/>
      <c r="AG31" s="270"/>
      <c r="AH31" s="259"/>
      <c r="AI31" s="260"/>
      <c r="AJ31" s="260"/>
      <c r="AK31" s="260"/>
      <c r="AL31" s="260"/>
      <c r="AM31" s="261"/>
      <c r="AN31" s="82"/>
      <c r="AO31" s="320"/>
      <c r="AP31" s="321"/>
      <c r="AQ31" s="321"/>
      <c r="AR31" s="321"/>
      <c r="AS31" s="321"/>
      <c r="AT31" s="32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c r="A32" s="82"/>
      <c r="B32" s="288"/>
      <c r="C32" s="288"/>
      <c r="D32" s="289"/>
      <c r="E32" s="281"/>
      <c r="F32" s="282"/>
      <c r="G32" s="282"/>
      <c r="H32" s="282"/>
      <c r="I32" s="282"/>
      <c r="J32" s="241" t="str">
        <f>IF(AND('Mapa final'!$H$28="Baja",'Mapa final'!$L$28="Leve"),CONCATENATE("R",'Mapa final'!$A$28),"")</f>
        <v/>
      </c>
      <c r="K32" s="242"/>
      <c r="L32" s="242" t="str">
        <f>IF(AND('Mapa final'!$H$34="Baja",'Mapa final'!$L$34="Leve"),CONCATENATE("R",'Mapa final'!$A$34),"")</f>
        <v/>
      </c>
      <c r="M32" s="242"/>
      <c r="N32" s="242" t="str">
        <f>IF(AND('Mapa final'!$H$40="Baja",'Mapa final'!$L$40="Leve"),CONCATENATE("R",'Mapa final'!$A$40),"")</f>
        <v/>
      </c>
      <c r="O32" s="243"/>
      <c r="P32" s="251" t="str">
        <f>IF(AND('Mapa final'!$H$28="Baja",'Mapa final'!$L$28="Menor"),CONCATENATE("R",'Mapa final'!$A$28),"")</f>
        <v/>
      </c>
      <c r="Q32" s="251"/>
      <c r="R32" s="251" t="str">
        <f>IF(AND('Mapa final'!$H$34="Baja",'Mapa final'!$L$34="Menor"),CONCATENATE("R",'Mapa final'!$A$34),"")</f>
        <v/>
      </c>
      <c r="S32" s="251"/>
      <c r="T32" s="251" t="str">
        <f>IF(AND('Mapa final'!$H$40="Baja",'Mapa final'!$L$40="Menor"),CONCATENATE("R",'Mapa final'!$A$40),"")</f>
        <v/>
      </c>
      <c r="U32" s="252"/>
      <c r="V32" s="250" t="str">
        <f>IF(AND('Mapa final'!$H$28="Baja",'Mapa final'!$L$28="Moderado"),CONCATENATE("R",'Mapa final'!$A$28),"")</f>
        <v/>
      </c>
      <c r="W32" s="251"/>
      <c r="X32" s="251" t="str">
        <f>IF(AND('Mapa final'!$H$34="Baja",'Mapa final'!$L$34="Moderado"),CONCATENATE("R",'Mapa final'!$A$34),"")</f>
        <v/>
      </c>
      <c r="Y32" s="251"/>
      <c r="Z32" s="251" t="str">
        <f>IF(AND('Mapa final'!$H$40="Baja",'Mapa final'!$L$40="Moderado"),CONCATENATE("R",'Mapa final'!$A$40),"")</f>
        <v/>
      </c>
      <c r="AA32" s="252"/>
      <c r="AB32" s="268" t="str">
        <f>IF(AND('Mapa final'!$H$28="Baja",'Mapa final'!$L$28="Mayor"),CONCATENATE("R",'Mapa final'!$A$28),"")</f>
        <v/>
      </c>
      <c r="AC32" s="269"/>
      <c r="AD32" s="269" t="str">
        <f>IF(AND('Mapa final'!$H$34="Baja",'Mapa final'!$L$34="Mayor"),CONCATENATE("R",'Mapa final'!$A$34),"")</f>
        <v/>
      </c>
      <c r="AE32" s="269"/>
      <c r="AF32" s="269" t="str">
        <f>IF(AND('Mapa final'!$H$40="Baja",'Mapa final'!$L$40="Mayor"),CONCATENATE("R",'Mapa final'!$A$40),"")</f>
        <v/>
      </c>
      <c r="AG32" s="270"/>
      <c r="AH32" s="259" t="str">
        <f>IF(AND('Mapa final'!$H$28="Baja",'Mapa final'!$L$28="Catastrófico"),CONCATENATE("R",'Mapa final'!$A$28),"")</f>
        <v/>
      </c>
      <c r="AI32" s="260"/>
      <c r="AJ32" s="260" t="str">
        <f>IF(AND('Mapa final'!$H$34="Baja",'Mapa final'!$L$34="Catastrófico"),CONCATENATE("R",'Mapa final'!$A$34),"")</f>
        <v/>
      </c>
      <c r="AK32" s="260"/>
      <c r="AL32" s="260" t="str">
        <f>IF(AND('Mapa final'!$H$40="Baja",'Mapa final'!$L$40="Catastrófico"),CONCATENATE("R",'Mapa final'!$A$40),"")</f>
        <v/>
      </c>
      <c r="AM32" s="261"/>
      <c r="AN32" s="82"/>
      <c r="AO32" s="320"/>
      <c r="AP32" s="321"/>
      <c r="AQ32" s="321"/>
      <c r="AR32" s="321"/>
      <c r="AS32" s="321"/>
      <c r="AT32" s="32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c r="A33" s="82"/>
      <c r="B33" s="288"/>
      <c r="C33" s="288"/>
      <c r="D33" s="289"/>
      <c r="E33" s="281"/>
      <c r="F33" s="282"/>
      <c r="G33" s="282"/>
      <c r="H33" s="282"/>
      <c r="I33" s="282"/>
      <c r="J33" s="241"/>
      <c r="K33" s="242"/>
      <c r="L33" s="242"/>
      <c r="M33" s="242"/>
      <c r="N33" s="242"/>
      <c r="O33" s="243"/>
      <c r="P33" s="251"/>
      <c r="Q33" s="251"/>
      <c r="R33" s="251"/>
      <c r="S33" s="251"/>
      <c r="T33" s="251"/>
      <c r="U33" s="252"/>
      <c r="V33" s="250"/>
      <c r="W33" s="251"/>
      <c r="X33" s="251"/>
      <c r="Y33" s="251"/>
      <c r="Z33" s="251"/>
      <c r="AA33" s="252"/>
      <c r="AB33" s="268"/>
      <c r="AC33" s="269"/>
      <c r="AD33" s="269"/>
      <c r="AE33" s="269"/>
      <c r="AF33" s="269"/>
      <c r="AG33" s="270"/>
      <c r="AH33" s="259"/>
      <c r="AI33" s="260"/>
      <c r="AJ33" s="260"/>
      <c r="AK33" s="260"/>
      <c r="AL33" s="260"/>
      <c r="AM33" s="261"/>
      <c r="AN33" s="82"/>
      <c r="AO33" s="320"/>
      <c r="AP33" s="321"/>
      <c r="AQ33" s="321"/>
      <c r="AR33" s="321"/>
      <c r="AS33" s="321"/>
      <c r="AT33" s="32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c r="A34" s="82"/>
      <c r="B34" s="288"/>
      <c r="C34" s="288"/>
      <c r="D34" s="289"/>
      <c r="E34" s="281"/>
      <c r="F34" s="282"/>
      <c r="G34" s="282"/>
      <c r="H34" s="282"/>
      <c r="I34" s="282"/>
      <c r="J34" s="241" t="str">
        <f>IF(AND('Mapa final'!$H$46="Baja",'Mapa final'!$L$46="Leve"),CONCATENATE("R",'Mapa final'!$A$46),"")</f>
        <v/>
      </c>
      <c r="K34" s="242"/>
      <c r="L34" s="242" t="str">
        <f>IF(AND('Mapa final'!$H$52="Baja",'Mapa final'!$L$52="Leve"),CONCATENATE("R",'Mapa final'!$A$52),"")</f>
        <v/>
      </c>
      <c r="M34" s="242"/>
      <c r="N34" s="242" t="str">
        <f>IF(AND('Mapa final'!$H$58="Baja",'Mapa final'!$L$58="Leve"),CONCATENATE("R",'Mapa final'!$A$58),"")</f>
        <v/>
      </c>
      <c r="O34" s="243"/>
      <c r="P34" s="251" t="str">
        <f>IF(AND('Mapa final'!$H$46="Baja",'Mapa final'!$L$46="Menor"),CONCATENATE("R",'Mapa final'!$A$46),"")</f>
        <v/>
      </c>
      <c r="Q34" s="251"/>
      <c r="R34" s="251" t="str">
        <f>IF(AND('Mapa final'!$H$52="Baja",'Mapa final'!$L$52="Menor"),CONCATENATE("R",'Mapa final'!$A$52),"")</f>
        <v/>
      </c>
      <c r="S34" s="251"/>
      <c r="T34" s="251" t="str">
        <f>IF(AND('Mapa final'!$H$58="Baja",'Mapa final'!$L$58="Menor"),CONCATENATE("R",'Mapa final'!$A$58),"")</f>
        <v/>
      </c>
      <c r="U34" s="252"/>
      <c r="V34" s="250" t="str">
        <f>IF(AND('Mapa final'!$H$46="Baja",'Mapa final'!$L$46="Moderado"),CONCATENATE("R",'Mapa final'!$A$46),"")</f>
        <v/>
      </c>
      <c r="W34" s="251"/>
      <c r="X34" s="251" t="str">
        <f>IF(AND('Mapa final'!$H$52="Baja",'Mapa final'!$L$52="Moderado"),CONCATENATE("R",'Mapa final'!$A$52),"")</f>
        <v/>
      </c>
      <c r="Y34" s="251"/>
      <c r="Z34" s="251" t="str">
        <f>IF(AND('Mapa final'!$H$58="Baja",'Mapa final'!$L$58="Moderado"),CONCATENATE("R",'Mapa final'!$A$58),"")</f>
        <v/>
      </c>
      <c r="AA34" s="252"/>
      <c r="AB34" s="268" t="str">
        <f>IF(AND('Mapa final'!$H$46="Baja",'Mapa final'!$L$46="Mayor"),CONCATENATE("R",'Mapa final'!$A$46),"")</f>
        <v/>
      </c>
      <c r="AC34" s="269"/>
      <c r="AD34" s="269" t="str">
        <f>IF(AND('Mapa final'!$H$52="Baja",'Mapa final'!$L$52="Mayor"),CONCATENATE("R",'Mapa final'!$A$52),"")</f>
        <v/>
      </c>
      <c r="AE34" s="269"/>
      <c r="AF34" s="269" t="str">
        <f>IF(AND('Mapa final'!$H$58="Baja",'Mapa final'!$L$58="Mayor"),CONCATENATE("R",'Mapa final'!$A$58),"")</f>
        <v/>
      </c>
      <c r="AG34" s="270"/>
      <c r="AH34" s="259" t="str">
        <f>IF(AND('Mapa final'!$H$46="Baja",'Mapa final'!$L$46="Catastrófico"),CONCATENATE("R",'Mapa final'!$A$46),"")</f>
        <v/>
      </c>
      <c r="AI34" s="260"/>
      <c r="AJ34" s="260" t="str">
        <f>IF(AND('Mapa final'!$H$52="Baja",'Mapa final'!$L$52="Catastrófico"),CONCATENATE("R",'Mapa final'!$A$52),"")</f>
        <v/>
      </c>
      <c r="AK34" s="260"/>
      <c r="AL34" s="260" t="str">
        <f>IF(AND('Mapa final'!$H$58="Baja",'Mapa final'!$L$58="Catastrófico"),CONCATENATE("R",'Mapa final'!$A$58),"")</f>
        <v/>
      </c>
      <c r="AM34" s="261"/>
      <c r="AN34" s="82"/>
      <c r="AO34" s="320"/>
      <c r="AP34" s="321"/>
      <c r="AQ34" s="321"/>
      <c r="AR34" s="321"/>
      <c r="AS34" s="321"/>
      <c r="AT34" s="32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c r="A35" s="82"/>
      <c r="B35" s="288"/>
      <c r="C35" s="288"/>
      <c r="D35" s="289"/>
      <c r="E35" s="281"/>
      <c r="F35" s="282"/>
      <c r="G35" s="282"/>
      <c r="H35" s="282"/>
      <c r="I35" s="282"/>
      <c r="J35" s="241"/>
      <c r="K35" s="242"/>
      <c r="L35" s="242"/>
      <c r="M35" s="242"/>
      <c r="N35" s="242"/>
      <c r="O35" s="243"/>
      <c r="P35" s="251"/>
      <c r="Q35" s="251"/>
      <c r="R35" s="251"/>
      <c r="S35" s="251"/>
      <c r="T35" s="251"/>
      <c r="U35" s="252"/>
      <c r="V35" s="250"/>
      <c r="W35" s="251"/>
      <c r="X35" s="251"/>
      <c r="Y35" s="251"/>
      <c r="Z35" s="251"/>
      <c r="AA35" s="252"/>
      <c r="AB35" s="268"/>
      <c r="AC35" s="269"/>
      <c r="AD35" s="269"/>
      <c r="AE35" s="269"/>
      <c r="AF35" s="269"/>
      <c r="AG35" s="270"/>
      <c r="AH35" s="259"/>
      <c r="AI35" s="260"/>
      <c r="AJ35" s="260"/>
      <c r="AK35" s="260"/>
      <c r="AL35" s="260"/>
      <c r="AM35" s="261"/>
      <c r="AN35" s="82"/>
      <c r="AO35" s="320"/>
      <c r="AP35" s="321"/>
      <c r="AQ35" s="321"/>
      <c r="AR35" s="321"/>
      <c r="AS35" s="321"/>
      <c r="AT35" s="32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c r="A36" s="82"/>
      <c r="B36" s="288"/>
      <c r="C36" s="288"/>
      <c r="D36" s="289"/>
      <c r="E36" s="281"/>
      <c r="F36" s="282"/>
      <c r="G36" s="282"/>
      <c r="H36" s="282"/>
      <c r="I36" s="282"/>
      <c r="J36" s="241" t="str">
        <f>IF(AND('Mapa final'!$H$64="Baja",'Mapa final'!$L$64="Leve"),CONCATENATE("R",'Mapa final'!$A$64),"")</f>
        <v/>
      </c>
      <c r="K36" s="242"/>
      <c r="L36" s="242" t="str">
        <f>IF(AND('Mapa final'!$H$70="Baja",'Mapa final'!$L$70="Leve"),CONCATENATE("R",'Mapa final'!$A$70),"")</f>
        <v/>
      </c>
      <c r="M36" s="242"/>
      <c r="N36" s="242" t="str">
        <f>IF(AND('Mapa final'!$H$76="Baja",'Mapa final'!$L$76="Leve"),CONCATENATE("R",'Mapa final'!$A$76),"")</f>
        <v/>
      </c>
      <c r="O36" s="243"/>
      <c r="P36" s="251" t="str">
        <f>IF(AND('Mapa final'!$H$64="Baja",'Mapa final'!$L$64="Menor"),CONCATENATE("R",'Mapa final'!$A$64),"")</f>
        <v/>
      </c>
      <c r="Q36" s="251"/>
      <c r="R36" s="251" t="str">
        <f>IF(AND('Mapa final'!$H$70="Baja",'Mapa final'!$L$70="Menor"),CONCATENATE("R",'Mapa final'!$A$70),"")</f>
        <v/>
      </c>
      <c r="S36" s="251"/>
      <c r="T36" s="251" t="str">
        <f>IF(AND('Mapa final'!$H$76="Baja",'Mapa final'!$L$76="Menor"),CONCATENATE("R",'Mapa final'!$A$76),"")</f>
        <v/>
      </c>
      <c r="U36" s="252"/>
      <c r="V36" s="250" t="str">
        <f>IF(AND('Mapa final'!$H$64="Baja",'Mapa final'!$L$64="Moderado"),CONCATENATE("R",'Mapa final'!$A$64),"")</f>
        <v/>
      </c>
      <c r="W36" s="251"/>
      <c r="X36" s="251" t="str">
        <f>IF(AND('Mapa final'!$H$70="Baja",'Mapa final'!$L$70="Moderado"),CONCATENATE("R",'Mapa final'!$A$70),"")</f>
        <v/>
      </c>
      <c r="Y36" s="251"/>
      <c r="Z36" s="251" t="str">
        <f>IF(AND('Mapa final'!$H$76="Baja",'Mapa final'!$L$76="Moderado"),CONCATENATE("R",'Mapa final'!$A$76),"")</f>
        <v/>
      </c>
      <c r="AA36" s="252"/>
      <c r="AB36" s="268" t="str">
        <f>IF(AND('Mapa final'!$H$64="Baja",'Mapa final'!$L$64="Mayor"),CONCATENATE("R",'Mapa final'!$A$64),"")</f>
        <v/>
      </c>
      <c r="AC36" s="269"/>
      <c r="AD36" s="269" t="str">
        <f>IF(AND('Mapa final'!$H$70="Baja",'Mapa final'!$L$70="Mayor"),CONCATENATE("R",'Mapa final'!$A$70),"")</f>
        <v/>
      </c>
      <c r="AE36" s="269"/>
      <c r="AF36" s="269" t="str">
        <f>IF(AND('Mapa final'!$H$76="Baja",'Mapa final'!$L$76="Mayor"),CONCATENATE("R",'Mapa final'!$A$76),"")</f>
        <v/>
      </c>
      <c r="AG36" s="270"/>
      <c r="AH36" s="259" t="str">
        <f>IF(AND('Mapa final'!$H$64="Baja",'Mapa final'!$L$64="Catastrófico"),CONCATENATE("R",'Mapa final'!$A$64),"")</f>
        <v/>
      </c>
      <c r="AI36" s="260"/>
      <c r="AJ36" s="260" t="str">
        <f>IF(AND('Mapa final'!$H$70="Baja",'Mapa final'!$L$70="Catastrófico"),CONCATENATE("R",'Mapa final'!$A$70),"")</f>
        <v/>
      </c>
      <c r="AK36" s="260"/>
      <c r="AL36" s="260" t="str">
        <f>IF(AND('Mapa final'!$H$76="Baja",'Mapa final'!$L$76="Catastrófico"),CONCATENATE("R",'Mapa final'!$A$76),"")</f>
        <v/>
      </c>
      <c r="AM36" s="261"/>
      <c r="AN36" s="82"/>
      <c r="AO36" s="320"/>
      <c r="AP36" s="321"/>
      <c r="AQ36" s="321"/>
      <c r="AR36" s="321"/>
      <c r="AS36" s="321"/>
      <c r="AT36" s="32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c r="A37" s="82"/>
      <c r="B37" s="288"/>
      <c r="C37" s="288"/>
      <c r="D37" s="289"/>
      <c r="E37" s="284"/>
      <c r="F37" s="285"/>
      <c r="G37" s="285"/>
      <c r="H37" s="285"/>
      <c r="I37" s="285"/>
      <c r="J37" s="244"/>
      <c r="K37" s="245"/>
      <c r="L37" s="245"/>
      <c r="M37" s="245"/>
      <c r="N37" s="245"/>
      <c r="O37" s="246"/>
      <c r="P37" s="254"/>
      <c r="Q37" s="254"/>
      <c r="R37" s="254"/>
      <c r="S37" s="254"/>
      <c r="T37" s="254"/>
      <c r="U37" s="255"/>
      <c r="V37" s="253"/>
      <c r="W37" s="254"/>
      <c r="X37" s="254"/>
      <c r="Y37" s="254"/>
      <c r="Z37" s="254"/>
      <c r="AA37" s="255"/>
      <c r="AB37" s="271"/>
      <c r="AC37" s="272"/>
      <c r="AD37" s="272"/>
      <c r="AE37" s="272"/>
      <c r="AF37" s="272"/>
      <c r="AG37" s="273"/>
      <c r="AH37" s="262"/>
      <c r="AI37" s="263"/>
      <c r="AJ37" s="263"/>
      <c r="AK37" s="263"/>
      <c r="AL37" s="263"/>
      <c r="AM37" s="264"/>
      <c r="AN37" s="82"/>
      <c r="AO37" s="323"/>
      <c r="AP37" s="324"/>
      <c r="AQ37" s="324"/>
      <c r="AR37" s="324"/>
      <c r="AS37" s="324"/>
      <c r="AT37" s="325"/>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c r="A38" s="82"/>
      <c r="B38" s="288"/>
      <c r="C38" s="288"/>
      <c r="D38" s="289"/>
      <c r="E38" s="278" t="s">
        <v>175</v>
      </c>
      <c r="F38" s="279"/>
      <c r="G38" s="279"/>
      <c r="H38" s="279"/>
      <c r="I38" s="280"/>
      <c r="J38" s="247" t="str">
        <f>IF(AND('Mapa final'!$H$10="Muy Baja",'Mapa final'!$L$10="Leve"),CONCATENATE("R",'Mapa final'!$A$10),"")</f>
        <v/>
      </c>
      <c r="K38" s="248"/>
      <c r="L38" s="248" t="str">
        <f>IF(AND('Mapa final'!$H$16="Muy Baja",'Mapa final'!$L$16="Leve"),CONCATENATE("R",'Mapa final'!$A$16),"")</f>
        <v/>
      </c>
      <c r="M38" s="248"/>
      <c r="N38" s="248" t="str">
        <f>IF(AND('Mapa final'!$H$22="Muy Baja",'Mapa final'!$L$22="Leve"),CONCATENATE("R",'Mapa final'!$A$22),"")</f>
        <v/>
      </c>
      <c r="O38" s="249"/>
      <c r="P38" s="247" t="str">
        <f>IF(AND('Mapa final'!$H$10="Muy Baja",'Mapa final'!$L$10="Menor"),CONCATENATE("R",'Mapa final'!$A$10),"")</f>
        <v/>
      </c>
      <c r="Q38" s="248"/>
      <c r="R38" s="248" t="str">
        <f>IF(AND('Mapa final'!$H$16="Muy Baja",'Mapa final'!$L$16="Menor"),CONCATENATE("R",'Mapa final'!$A$16),"")</f>
        <v/>
      </c>
      <c r="S38" s="248"/>
      <c r="T38" s="248" t="str">
        <f>IF(AND('Mapa final'!$H$22="Muy Baja",'Mapa final'!$L$22="Menor"),CONCATENATE("R",'Mapa final'!$A$22),"")</f>
        <v/>
      </c>
      <c r="U38" s="249"/>
      <c r="V38" s="256" t="str">
        <f>IF(AND('Mapa final'!$H$10="Muy Baja",'Mapa final'!$L$10="Moderado"),CONCATENATE("R",'Mapa final'!$A$10),"")</f>
        <v/>
      </c>
      <c r="W38" s="257"/>
      <c r="X38" s="257" t="str">
        <f>IF(AND('Mapa final'!$H$16="Muy Baja",'Mapa final'!$L$16="Moderado"),CONCATENATE("R",'Mapa final'!$A$16),"")</f>
        <v/>
      </c>
      <c r="Y38" s="257"/>
      <c r="Z38" s="257" t="str">
        <f>IF(AND('Mapa final'!$H$22="Muy Baja",'Mapa final'!$L$22="Moderado"),CONCATENATE("R",'Mapa final'!$A$22),"")</f>
        <v/>
      </c>
      <c r="AA38" s="258"/>
      <c r="AB38" s="274" t="str">
        <f>IF(AND('Mapa final'!$H$10="Muy Baja",'Mapa final'!$L$10="Mayor"),CONCATENATE("R",'Mapa final'!$A$10),"")</f>
        <v/>
      </c>
      <c r="AC38" s="275"/>
      <c r="AD38" s="275" t="str">
        <f>IF(AND('Mapa final'!$H$16="Muy Baja",'Mapa final'!$L$16="Mayor"),CONCATENATE("R",'Mapa final'!$A$16),"")</f>
        <v/>
      </c>
      <c r="AE38" s="275"/>
      <c r="AF38" s="275" t="str">
        <f>IF(AND('Mapa final'!$H$22="Muy Baja",'Mapa final'!$L$22="Mayor"),CONCATENATE("R",'Mapa final'!$A$22),"")</f>
        <v/>
      </c>
      <c r="AG38" s="276"/>
      <c r="AH38" s="265" t="str">
        <f>IF(AND('Mapa final'!$H$10="Muy Baja",'Mapa final'!$L$10="Catastrófico"),CONCATENATE("R",'Mapa final'!$A$10),"")</f>
        <v/>
      </c>
      <c r="AI38" s="266"/>
      <c r="AJ38" s="266" t="str">
        <f>IF(AND('Mapa final'!$H$16="Muy Baja",'Mapa final'!$L$16="Catastrófico"),CONCATENATE("R",'Mapa final'!$A$16),"")</f>
        <v/>
      </c>
      <c r="AK38" s="266"/>
      <c r="AL38" s="266" t="str">
        <f>IF(AND('Mapa final'!$H$22="Muy Baja",'Mapa final'!$L$22="Catastrófico"),CONCATENATE("R",'Mapa final'!$A$22),"")</f>
        <v/>
      </c>
      <c r="AM38" s="267"/>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c r="A39" s="82"/>
      <c r="B39" s="288"/>
      <c r="C39" s="288"/>
      <c r="D39" s="289"/>
      <c r="E39" s="281"/>
      <c r="F39" s="282"/>
      <c r="G39" s="282"/>
      <c r="H39" s="282"/>
      <c r="I39" s="283"/>
      <c r="J39" s="241"/>
      <c r="K39" s="242"/>
      <c r="L39" s="242"/>
      <c r="M39" s="242"/>
      <c r="N39" s="242"/>
      <c r="O39" s="243"/>
      <c r="P39" s="241"/>
      <c r="Q39" s="242"/>
      <c r="R39" s="242"/>
      <c r="S39" s="242"/>
      <c r="T39" s="242"/>
      <c r="U39" s="243"/>
      <c r="V39" s="250"/>
      <c r="W39" s="251"/>
      <c r="X39" s="251"/>
      <c r="Y39" s="251"/>
      <c r="Z39" s="251"/>
      <c r="AA39" s="252"/>
      <c r="AB39" s="268"/>
      <c r="AC39" s="269"/>
      <c r="AD39" s="269"/>
      <c r="AE39" s="269"/>
      <c r="AF39" s="269"/>
      <c r="AG39" s="270"/>
      <c r="AH39" s="259"/>
      <c r="AI39" s="260"/>
      <c r="AJ39" s="260"/>
      <c r="AK39" s="260"/>
      <c r="AL39" s="260"/>
      <c r="AM39" s="261"/>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c r="A40" s="82"/>
      <c r="B40" s="288"/>
      <c r="C40" s="288"/>
      <c r="D40" s="289"/>
      <c r="E40" s="281"/>
      <c r="F40" s="282"/>
      <c r="G40" s="282"/>
      <c r="H40" s="282"/>
      <c r="I40" s="283"/>
      <c r="J40" s="241" t="str">
        <f>IF(AND('Mapa final'!$H$28="Muy Baja",'Mapa final'!$L$28="Leve"),CONCATENATE("R",'Mapa final'!$A$28),"")</f>
        <v/>
      </c>
      <c r="K40" s="242"/>
      <c r="L40" s="242" t="str">
        <f>IF(AND('Mapa final'!$H$34="Muy Baja",'Mapa final'!$L$34="Leve"),CONCATENATE("R",'Mapa final'!$A$34),"")</f>
        <v/>
      </c>
      <c r="M40" s="242"/>
      <c r="N40" s="242" t="str">
        <f>IF(AND('Mapa final'!$H$40="Muy Baja",'Mapa final'!$L$40="Leve"),CONCATENATE("R",'Mapa final'!$A$40),"")</f>
        <v/>
      </c>
      <c r="O40" s="243"/>
      <c r="P40" s="241" t="str">
        <f>IF(AND('Mapa final'!$H$28="Muy Baja",'Mapa final'!$L$28="Menor"),CONCATENATE("R",'Mapa final'!$A$28),"")</f>
        <v/>
      </c>
      <c r="Q40" s="242"/>
      <c r="R40" s="242" t="str">
        <f>IF(AND('Mapa final'!$H$34="Muy Baja",'Mapa final'!$L$34="Menor"),CONCATENATE("R",'Mapa final'!$A$34),"")</f>
        <v/>
      </c>
      <c r="S40" s="242"/>
      <c r="T40" s="242" t="str">
        <f>IF(AND('Mapa final'!$H$40="Muy Baja",'Mapa final'!$L$40="Menor"),CONCATENATE("R",'Mapa final'!$A$40),"")</f>
        <v/>
      </c>
      <c r="U40" s="243"/>
      <c r="V40" s="250" t="str">
        <f>IF(AND('Mapa final'!$H$28="Muy Baja",'Mapa final'!$L$28="Moderado"),CONCATENATE("R",'Mapa final'!$A$28),"")</f>
        <v/>
      </c>
      <c r="W40" s="251"/>
      <c r="X40" s="251" t="str">
        <f>IF(AND('Mapa final'!$H$34="Muy Baja",'Mapa final'!$L$34="Moderado"),CONCATENATE("R",'Mapa final'!$A$34),"")</f>
        <v/>
      </c>
      <c r="Y40" s="251"/>
      <c r="Z40" s="251" t="str">
        <f>IF(AND('Mapa final'!$H$40="Muy Baja",'Mapa final'!$L$40="Moderado"),CONCATENATE("R",'Mapa final'!$A$40),"")</f>
        <v/>
      </c>
      <c r="AA40" s="252"/>
      <c r="AB40" s="268" t="str">
        <f>IF(AND('Mapa final'!$H$28="Muy Baja",'Mapa final'!$L$28="Mayor"),CONCATENATE("R",'Mapa final'!$A$28),"")</f>
        <v/>
      </c>
      <c r="AC40" s="269"/>
      <c r="AD40" s="269" t="str">
        <f>IF(AND('Mapa final'!$H$34="Muy Baja",'Mapa final'!$L$34="Mayor"),CONCATENATE("R",'Mapa final'!$A$34),"")</f>
        <v/>
      </c>
      <c r="AE40" s="269"/>
      <c r="AF40" s="269" t="str">
        <f>IF(AND('Mapa final'!$H$40="Muy Baja",'Mapa final'!$L$40="Mayor"),CONCATENATE("R",'Mapa final'!$A$40),"")</f>
        <v/>
      </c>
      <c r="AG40" s="270"/>
      <c r="AH40" s="259" t="str">
        <f>IF(AND('Mapa final'!$H$28="Muy Baja",'Mapa final'!$L$28="Catastrófico"),CONCATENATE("R",'Mapa final'!$A$28),"")</f>
        <v/>
      </c>
      <c r="AI40" s="260"/>
      <c r="AJ40" s="260" t="str">
        <f>IF(AND('Mapa final'!$H$34="Muy Baja",'Mapa final'!$L$34="Catastrófico"),CONCATENATE("R",'Mapa final'!$A$34),"")</f>
        <v/>
      </c>
      <c r="AK40" s="260"/>
      <c r="AL40" s="260" t="str">
        <f>IF(AND('Mapa final'!$H$40="Muy Baja",'Mapa final'!$L$40="Catastrófico"),CONCATENATE("R",'Mapa final'!$A$40),"")</f>
        <v/>
      </c>
      <c r="AM40" s="261"/>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c r="A41" s="82"/>
      <c r="B41" s="288"/>
      <c r="C41" s="288"/>
      <c r="D41" s="289"/>
      <c r="E41" s="281"/>
      <c r="F41" s="282"/>
      <c r="G41" s="282"/>
      <c r="H41" s="282"/>
      <c r="I41" s="283"/>
      <c r="J41" s="241"/>
      <c r="K41" s="242"/>
      <c r="L41" s="242"/>
      <c r="M41" s="242"/>
      <c r="N41" s="242"/>
      <c r="O41" s="243"/>
      <c r="P41" s="241"/>
      <c r="Q41" s="242"/>
      <c r="R41" s="242"/>
      <c r="S41" s="242"/>
      <c r="T41" s="242"/>
      <c r="U41" s="243"/>
      <c r="V41" s="250"/>
      <c r="W41" s="251"/>
      <c r="X41" s="251"/>
      <c r="Y41" s="251"/>
      <c r="Z41" s="251"/>
      <c r="AA41" s="252"/>
      <c r="AB41" s="268"/>
      <c r="AC41" s="269"/>
      <c r="AD41" s="269"/>
      <c r="AE41" s="269"/>
      <c r="AF41" s="269"/>
      <c r="AG41" s="270"/>
      <c r="AH41" s="259"/>
      <c r="AI41" s="260"/>
      <c r="AJ41" s="260"/>
      <c r="AK41" s="260"/>
      <c r="AL41" s="260"/>
      <c r="AM41" s="261"/>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c r="A42" s="82"/>
      <c r="B42" s="288"/>
      <c r="C42" s="288"/>
      <c r="D42" s="289"/>
      <c r="E42" s="281"/>
      <c r="F42" s="282"/>
      <c r="G42" s="282"/>
      <c r="H42" s="282"/>
      <c r="I42" s="283"/>
      <c r="J42" s="241" t="str">
        <f>IF(AND('Mapa final'!$H$46="Muy Baja",'Mapa final'!$L$46="Leve"),CONCATENATE("R",'Mapa final'!$A$46),"")</f>
        <v/>
      </c>
      <c r="K42" s="242"/>
      <c r="L42" s="242" t="str">
        <f>IF(AND('Mapa final'!$H$52="Muy Baja",'Mapa final'!$L$52="Leve"),CONCATENATE("R",'Mapa final'!$A$52),"")</f>
        <v/>
      </c>
      <c r="M42" s="242"/>
      <c r="N42" s="242" t="str">
        <f>IF(AND('Mapa final'!$H$58="Muy Baja",'Mapa final'!$L$58="Leve"),CONCATENATE("R",'Mapa final'!$A$58),"")</f>
        <v/>
      </c>
      <c r="O42" s="243"/>
      <c r="P42" s="241" t="str">
        <f>IF(AND('Mapa final'!$H$46="Muy Baja",'Mapa final'!$L$46="Menor"),CONCATENATE("R",'Mapa final'!$A$46),"")</f>
        <v/>
      </c>
      <c r="Q42" s="242"/>
      <c r="R42" s="242" t="str">
        <f>IF(AND('Mapa final'!$H$52="Muy Baja",'Mapa final'!$L$52="Menor"),CONCATENATE("R",'Mapa final'!$A$52),"")</f>
        <v/>
      </c>
      <c r="S42" s="242"/>
      <c r="T42" s="242" t="str">
        <f>IF(AND('Mapa final'!$H$58="Muy Baja",'Mapa final'!$L$58="Menor"),CONCATENATE("R",'Mapa final'!$A$58),"")</f>
        <v/>
      </c>
      <c r="U42" s="243"/>
      <c r="V42" s="250" t="str">
        <f>IF(AND('Mapa final'!$H$46="Muy Baja",'Mapa final'!$L$46="Moderado"),CONCATENATE("R",'Mapa final'!$A$46),"")</f>
        <v/>
      </c>
      <c r="W42" s="251"/>
      <c r="X42" s="251" t="str">
        <f>IF(AND('Mapa final'!$H$52="Muy Baja",'Mapa final'!$L$52="Moderado"),CONCATENATE("R",'Mapa final'!$A$52),"")</f>
        <v/>
      </c>
      <c r="Y42" s="251"/>
      <c r="Z42" s="251" t="str">
        <f>IF(AND('Mapa final'!$H$58="Muy Baja",'Mapa final'!$L$58="Moderado"),CONCATENATE("R",'Mapa final'!$A$58),"")</f>
        <v/>
      </c>
      <c r="AA42" s="252"/>
      <c r="AB42" s="268" t="str">
        <f>IF(AND('Mapa final'!$H$46="Muy Baja",'Mapa final'!$L$46="Mayor"),CONCATENATE("R",'Mapa final'!$A$46),"")</f>
        <v/>
      </c>
      <c r="AC42" s="269"/>
      <c r="AD42" s="269" t="str">
        <f>IF(AND('Mapa final'!$H$52="Muy Baja",'Mapa final'!$L$52="Mayor"),CONCATENATE("R",'Mapa final'!$A$52),"")</f>
        <v/>
      </c>
      <c r="AE42" s="269"/>
      <c r="AF42" s="269" t="str">
        <f>IF(AND('Mapa final'!$H$58="Muy Baja",'Mapa final'!$L$58="Mayor"),CONCATENATE("R",'Mapa final'!$A$58),"")</f>
        <v/>
      </c>
      <c r="AG42" s="270"/>
      <c r="AH42" s="259" t="str">
        <f>IF(AND('Mapa final'!$H$46="Muy Baja",'Mapa final'!$L$46="Catastrófico"),CONCATENATE("R",'Mapa final'!$A$46),"")</f>
        <v/>
      </c>
      <c r="AI42" s="260"/>
      <c r="AJ42" s="260" t="str">
        <f>IF(AND('Mapa final'!$H$52="Muy Baja",'Mapa final'!$L$52="Catastrófico"),CONCATENATE("R",'Mapa final'!$A$52),"")</f>
        <v/>
      </c>
      <c r="AK42" s="260"/>
      <c r="AL42" s="260" t="str">
        <f>IF(AND('Mapa final'!$H$58="Muy Baja",'Mapa final'!$L$58="Catastrófico"),CONCATENATE("R",'Mapa final'!$A$58),"")</f>
        <v/>
      </c>
      <c r="AM42" s="261"/>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c r="A43" s="82"/>
      <c r="B43" s="288"/>
      <c r="C43" s="288"/>
      <c r="D43" s="289"/>
      <c r="E43" s="281"/>
      <c r="F43" s="282"/>
      <c r="G43" s="282"/>
      <c r="H43" s="282"/>
      <c r="I43" s="283"/>
      <c r="J43" s="241"/>
      <c r="K43" s="242"/>
      <c r="L43" s="242"/>
      <c r="M43" s="242"/>
      <c r="N43" s="242"/>
      <c r="O43" s="243"/>
      <c r="P43" s="241"/>
      <c r="Q43" s="242"/>
      <c r="R43" s="242"/>
      <c r="S43" s="242"/>
      <c r="T43" s="242"/>
      <c r="U43" s="243"/>
      <c r="V43" s="250"/>
      <c r="W43" s="251"/>
      <c r="X43" s="251"/>
      <c r="Y43" s="251"/>
      <c r="Z43" s="251"/>
      <c r="AA43" s="252"/>
      <c r="AB43" s="268"/>
      <c r="AC43" s="269"/>
      <c r="AD43" s="269"/>
      <c r="AE43" s="269"/>
      <c r="AF43" s="269"/>
      <c r="AG43" s="270"/>
      <c r="AH43" s="259"/>
      <c r="AI43" s="260"/>
      <c r="AJ43" s="260"/>
      <c r="AK43" s="260"/>
      <c r="AL43" s="260"/>
      <c r="AM43" s="261"/>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c r="A44" s="82"/>
      <c r="B44" s="288"/>
      <c r="C44" s="288"/>
      <c r="D44" s="289"/>
      <c r="E44" s="281"/>
      <c r="F44" s="282"/>
      <c r="G44" s="282"/>
      <c r="H44" s="282"/>
      <c r="I44" s="283"/>
      <c r="J44" s="241" t="str">
        <f>IF(AND('Mapa final'!$H$64="Muy Baja",'Mapa final'!$L$64="Leve"),CONCATENATE("R",'Mapa final'!$A$64),"")</f>
        <v/>
      </c>
      <c r="K44" s="242"/>
      <c r="L44" s="242" t="str">
        <f>IF(AND('Mapa final'!$H$70="Muy Baja",'Mapa final'!$L$70="Leve"),CONCATENATE("R",'Mapa final'!$A$70),"")</f>
        <v/>
      </c>
      <c r="M44" s="242"/>
      <c r="N44" s="242" t="str">
        <f>IF(AND('Mapa final'!$H$76="Muy Baja",'Mapa final'!$L$76="Leve"),CONCATENATE("R",'Mapa final'!$A$76),"")</f>
        <v/>
      </c>
      <c r="O44" s="243"/>
      <c r="P44" s="241" t="str">
        <f>IF(AND('Mapa final'!$H$64="Muy Baja",'Mapa final'!$L$64="Menor"),CONCATENATE("R",'Mapa final'!$A$64),"")</f>
        <v/>
      </c>
      <c r="Q44" s="242"/>
      <c r="R44" s="242" t="str">
        <f>IF(AND('Mapa final'!$H$70="Muy Baja",'Mapa final'!$L$70="Menor"),CONCATENATE("R",'Mapa final'!$A$70),"")</f>
        <v/>
      </c>
      <c r="S44" s="242"/>
      <c r="T44" s="242" t="str">
        <f>IF(AND('Mapa final'!$H$76="Muy Baja",'Mapa final'!$L$76="Menor"),CONCATENATE("R",'Mapa final'!$A$76),"")</f>
        <v/>
      </c>
      <c r="U44" s="243"/>
      <c r="V44" s="250" t="str">
        <f>IF(AND('Mapa final'!$H$64="Muy Baja",'Mapa final'!$L$64="Moderado"),CONCATENATE("R",'Mapa final'!$A$64),"")</f>
        <v/>
      </c>
      <c r="W44" s="251"/>
      <c r="X44" s="251" t="str">
        <f>IF(AND('Mapa final'!$H$70="Muy Baja",'Mapa final'!$L$70="Moderado"),CONCATENATE("R",'Mapa final'!$A$70),"")</f>
        <v/>
      </c>
      <c r="Y44" s="251"/>
      <c r="Z44" s="251" t="str">
        <f>IF(AND('Mapa final'!$H$76="Muy Baja",'Mapa final'!$L$76="Moderado"),CONCATENATE("R",'Mapa final'!$A$76),"")</f>
        <v/>
      </c>
      <c r="AA44" s="252"/>
      <c r="AB44" s="268" t="str">
        <f>IF(AND('Mapa final'!$H$64="Muy Baja",'Mapa final'!$L$64="Mayor"),CONCATENATE("R",'Mapa final'!$A$64),"")</f>
        <v/>
      </c>
      <c r="AC44" s="269"/>
      <c r="AD44" s="269" t="str">
        <f>IF(AND('Mapa final'!$H$70="Muy Baja",'Mapa final'!$L$70="Mayor"),CONCATENATE("R",'Mapa final'!$A$70),"")</f>
        <v/>
      </c>
      <c r="AE44" s="269"/>
      <c r="AF44" s="269" t="str">
        <f>IF(AND('Mapa final'!$H$76="Muy Baja",'Mapa final'!$L$76="Mayor"),CONCATENATE("R",'Mapa final'!$A$76),"")</f>
        <v/>
      </c>
      <c r="AG44" s="270"/>
      <c r="AH44" s="259" t="str">
        <f>IF(AND('Mapa final'!$H$64="Muy Baja",'Mapa final'!$L$64="Catastrófico"),CONCATENATE("R",'Mapa final'!$A$64),"")</f>
        <v/>
      </c>
      <c r="AI44" s="260"/>
      <c r="AJ44" s="260" t="str">
        <f>IF(AND('Mapa final'!$H$70="Muy Baja",'Mapa final'!$L$70="Catastrófico"),CONCATENATE("R",'Mapa final'!$A$70),"")</f>
        <v/>
      </c>
      <c r="AK44" s="260"/>
      <c r="AL44" s="260" t="str">
        <f>IF(AND('Mapa final'!$H$76="Muy Baja",'Mapa final'!$L$76="Catastrófico"),CONCATENATE("R",'Mapa final'!$A$76),"")</f>
        <v/>
      </c>
      <c r="AM44" s="261"/>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c r="A45" s="82"/>
      <c r="B45" s="288"/>
      <c r="C45" s="288"/>
      <c r="D45" s="289"/>
      <c r="E45" s="284"/>
      <c r="F45" s="285"/>
      <c r="G45" s="285"/>
      <c r="H45" s="285"/>
      <c r="I45" s="286"/>
      <c r="J45" s="244"/>
      <c r="K45" s="245"/>
      <c r="L45" s="245"/>
      <c r="M45" s="245"/>
      <c r="N45" s="245"/>
      <c r="O45" s="246"/>
      <c r="P45" s="244"/>
      <c r="Q45" s="245"/>
      <c r="R45" s="245"/>
      <c r="S45" s="245"/>
      <c r="T45" s="245"/>
      <c r="U45" s="246"/>
      <c r="V45" s="253"/>
      <c r="W45" s="254"/>
      <c r="X45" s="254"/>
      <c r="Y45" s="254"/>
      <c r="Z45" s="254"/>
      <c r="AA45" s="255"/>
      <c r="AB45" s="271"/>
      <c r="AC45" s="272"/>
      <c r="AD45" s="272"/>
      <c r="AE45" s="272"/>
      <c r="AF45" s="272"/>
      <c r="AG45" s="273"/>
      <c r="AH45" s="262"/>
      <c r="AI45" s="263"/>
      <c r="AJ45" s="263"/>
      <c r="AK45" s="263"/>
      <c r="AL45" s="263"/>
      <c r="AM45" s="264"/>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c r="A46" s="82"/>
      <c r="B46" s="82"/>
      <c r="C46" s="82"/>
      <c r="D46" s="82"/>
      <c r="E46" s="82"/>
      <c r="F46" s="82"/>
      <c r="G46" s="82"/>
      <c r="H46" s="82"/>
      <c r="I46" s="82"/>
      <c r="J46" s="278" t="s">
        <v>176</v>
      </c>
      <c r="K46" s="279"/>
      <c r="L46" s="279"/>
      <c r="M46" s="279"/>
      <c r="N46" s="279"/>
      <c r="O46" s="280"/>
      <c r="P46" s="278" t="s">
        <v>177</v>
      </c>
      <c r="Q46" s="279"/>
      <c r="R46" s="279"/>
      <c r="S46" s="279"/>
      <c r="T46" s="279"/>
      <c r="U46" s="280"/>
      <c r="V46" s="278" t="s">
        <v>178</v>
      </c>
      <c r="W46" s="279"/>
      <c r="X46" s="279"/>
      <c r="Y46" s="279"/>
      <c r="Z46" s="279"/>
      <c r="AA46" s="280"/>
      <c r="AB46" s="278" t="s">
        <v>179</v>
      </c>
      <c r="AC46" s="287"/>
      <c r="AD46" s="279"/>
      <c r="AE46" s="279"/>
      <c r="AF46" s="279"/>
      <c r="AG46" s="280"/>
      <c r="AH46" s="278" t="s">
        <v>180</v>
      </c>
      <c r="AI46" s="279"/>
      <c r="AJ46" s="279"/>
      <c r="AK46" s="279"/>
      <c r="AL46" s="279"/>
      <c r="AM46" s="280"/>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c r="A47" s="82"/>
      <c r="B47" s="82"/>
      <c r="C47" s="82"/>
      <c r="D47" s="82"/>
      <c r="E47" s="82"/>
      <c r="F47" s="82"/>
      <c r="G47" s="82"/>
      <c r="H47" s="82"/>
      <c r="I47" s="82"/>
      <c r="J47" s="281"/>
      <c r="K47" s="282"/>
      <c r="L47" s="282"/>
      <c r="M47" s="282"/>
      <c r="N47" s="282"/>
      <c r="O47" s="283"/>
      <c r="P47" s="281"/>
      <c r="Q47" s="282"/>
      <c r="R47" s="282"/>
      <c r="S47" s="282"/>
      <c r="T47" s="282"/>
      <c r="U47" s="283"/>
      <c r="V47" s="281"/>
      <c r="W47" s="282"/>
      <c r="X47" s="282"/>
      <c r="Y47" s="282"/>
      <c r="Z47" s="282"/>
      <c r="AA47" s="283"/>
      <c r="AB47" s="281"/>
      <c r="AC47" s="282"/>
      <c r="AD47" s="282"/>
      <c r="AE47" s="282"/>
      <c r="AF47" s="282"/>
      <c r="AG47" s="283"/>
      <c r="AH47" s="281"/>
      <c r="AI47" s="282"/>
      <c r="AJ47" s="282"/>
      <c r="AK47" s="282"/>
      <c r="AL47" s="282"/>
      <c r="AM47" s="283"/>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c r="A48" s="82"/>
      <c r="B48" s="82"/>
      <c r="C48" s="82"/>
      <c r="D48" s="82"/>
      <c r="E48" s="82"/>
      <c r="F48" s="82"/>
      <c r="G48" s="82"/>
      <c r="H48" s="82"/>
      <c r="I48" s="82"/>
      <c r="J48" s="281"/>
      <c r="K48" s="282"/>
      <c r="L48" s="282"/>
      <c r="M48" s="282"/>
      <c r="N48" s="282"/>
      <c r="O48" s="283"/>
      <c r="P48" s="281"/>
      <c r="Q48" s="282"/>
      <c r="R48" s="282"/>
      <c r="S48" s="282"/>
      <c r="T48" s="282"/>
      <c r="U48" s="283"/>
      <c r="V48" s="281"/>
      <c r="W48" s="282"/>
      <c r="X48" s="282"/>
      <c r="Y48" s="282"/>
      <c r="Z48" s="282"/>
      <c r="AA48" s="283"/>
      <c r="AB48" s="281"/>
      <c r="AC48" s="282"/>
      <c r="AD48" s="282"/>
      <c r="AE48" s="282"/>
      <c r="AF48" s="282"/>
      <c r="AG48" s="283"/>
      <c r="AH48" s="281"/>
      <c r="AI48" s="282"/>
      <c r="AJ48" s="282"/>
      <c r="AK48" s="282"/>
      <c r="AL48" s="282"/>
      <c r="AM48" s="283"/>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c r="A49" s="82"/>
      <c r="B49" s="82"/>
      <c r="C49" s="82"/>
      <c r="D49" s="82"/>
      <c r="E49" s="82"/>
      <c r="F49" s="82"/>
      <c r="G49" s="82"/>
      <c r="H49" s="82"/>
      <c r="I49" s="82"/>
      <c r="J49" s="281"/>
      <c r="K49" s="282"/>
      <c r="L49" s="282"/>
      <c r="M49" s="282"/>
      <c r="N49" s="282"/>
      <c r="O49" s="283"/>
      <c r="P49" s="281"/>
      <c r="Q49" s="282"/>
      <c r="R49" s="282"/>
      <c r="S49" s="282"/>
      <c r="T49" s="282"/>
      <c r="U49" s="283"/>
      <c r="V49" s="281"/>
      <c r="W49" s="282"/>
      <c r="X49" s="282"/>
      <c r="Y49" s="282"/>
      <c r="Z49" s="282"/>
      <c r="AA49" s="283"/>
      <c r="AB49" s="281"/>
      <c r="AC49" s="282"/>
      <c r="AD49" s="282"/>
      <c r="AE49" s="282"/>
      <c r="AF49" s="282"/>
      <c r="AG49" s="283"/>
      <c r="AH49" s="281"/>
      <c r="AI49" s="282"/>
      <c r="AJ49" s="282"/>
      <c r="AK49" s="282"/>
      <c r="AL49" s="282"/>
      <c r="AM49" s="283"/>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c r="A50" s="82"/>
      <c r="B50" s="82"/>
      <c r="C50" s="82"/>
      <c r="D50" s="82"/>
      <c r="E50" s="82"/>
      <c r="F50" s="82"/>
      <c r="G50" s="82"/>
      <c r="H50" s="82"/>
      <c r="I50" s="82"/>
      <c r="J50" s="281"/>
      <c r="K50" s="282"/>
      <c r="L50" s="282"/>
      <c r="M50" s="282"/>
      <c r="N50" s="282"/>
      <c r="O50" s="283"/>
      <c r="P50" s="281"/>
      <c r="Q50" s="282"/>
      <c r="R50" s="282"/>
      <c r="S50" s="282"/>
      <c r="T50" s="282"/>
      <c r="U50" s="283"/>
      <c r="V50" s="281"/>
      <c r="W50" s="282"/>
      <c r="X50" s="282"/>
      <c r="Y50" s="282"/>
      <c r="Z50" s="282"/>
      <c r="AA50" s="283"/>
      <c r="AB50" s="281"/>
      <c r="AC50" s="282"/>
      <c r="AD50" s="282"/>
      <c r="AE50" s="282"/>
      <c r="AF50" s="282"/>
      <c r="AG50" s="283"/>
      <c r="AH50" s="281"/>
      <c r="AI50" s="282"/>
      <c r="AJ50" s="282"/>
      <c r="AK50" s="282"/>
      <c r="AL50" s="282"/>
      <c r="AM50" s="283"/>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c r="A51" s="82"/>
      <c r="B51" s="82"/>
      <c r="C51" s="82"/>
      <c r="D51" s="82"/>
      <c r="E51" s="82"/>
      <c r="F51" s="82"/>
      <c r="G51" s="82"/>
      <c r="H51" s="82"/>
      <c r="I51" s="82"/>
      <c r="J51" s="284"/>
      <c r="K51" s="285"/>
      <c r="L51" s="285"/>
      <c r="M51" s="285"/>
      <c r="N51" s="285"/>
      <c r="O51" s="286"/>
      <c r="P51" s="284"/>
      <c r="Q51" s="285"/>
      <c r="R51" s="285"/>
      <c r="S51" s="285"/>
      <c r="T51" s="285"/>
      <c r="U51" s="286"/>
      <c r="V51" s="284"/>
      <c r="W51" s="285"/>
      <c r="X51" s="285"/>
      <c r="Y51" s="285"/>
      <c r="Z51" s="285"/>
      <c r="AA51" s="286"/>
      <c r="AB51" s="284"/>
      <c r="AC51" s="285"/>
      <c r="AD51" s="285"/>
      <c r="AE51" s="285"/>
      <c r="AF51" s="285"/>
      <c r="AG51" s="286"/>
      <c r="AH51" s="284"/>
      <c r="AI51" s="285"/>
      <c r="AJ51" s="285"/>
      <c r="AK51" s="285"/>
      <c r="AL51" s="285"/>
      <c r="AM51" s="286"/>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c r="B137" s="82"/>
      <c r="C137" s="82"/>
      <c r="D137" s="82"/>
      <c r="E137" s="82"/>
      <c r="F137" s="82"/>
      <c r="G137" s="82"/>
      <c r="H137" s="82"/>
      <c r="I137" s="82"/>
    </row>
    <row r="138" spans="2:63">
      <c r="B138" s="82"/>
      <c r="C138" s="82"/>
      <c r="D138" s="82"/>
      <c r="E138" s="82"/>
      <c r="F138" s="82"/>
      <c r="G138" s="82"/>
      <c r="H138" s="82"/>
      <c r="I138" s="82"/>
    </row>
    <row r="139" spans="2:63">
      <c r="B139" s="82"/>
      <c r="C139" s="82"/>
      <c r="D139" s="82"/>
      <c r="E139" s="82"/>
      <c r="F139" s="82"/>
      <c r="G139" s="82"/>
      <c r="H139" s="82"/>
      <c r="I139" s="82"/>
    </row>
    <row r="140" spans="2:63">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40" zoomScale="50" zoomScaleNormal="50" workbookViewId="0">
      <selection activeCell="J6" sqref="J6"/>
    </sheetView>
  </sheetViews>
  <sheetFormatPr defaultColWidth="11.42578125" defaultRowHeight="1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c r="A2" s="82"/>
      <c r="B2" s="355" t="s">
        <v>181</v>
      </c>
      <c r="C2" s="356"/>
      <c r="D2" s="356"/>
      <c r="E2" s="356"/>
      <c r="F2" s="356"/>
      <c r="G2" s="356"/>
      <c r="H2" s="356"/>
      <c r="I2" s="356"/>
      <c r="J2" s="277" t="s">
        <v>15</v>
      </c>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c r="A3" s="82"/>
      <c r="B3" s="356"/>
      <c r="C3" s="356"/>
      <c r="D3" s="356"/>
      <c r="E3" s="356"/>
      <c r="F3" s="356"/>
      <c r="G3" s="356"/>
      <c r="H3" s="356"/>
      <c r="I3" s="356"/>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c r="A4" s="82"/>
      <c r="B4" s="356"/>
      <c r="C4" s="356"/>
      <c r="D4" s="356"/>
      <c r="E4" s="356"/>
      <c r="F4" s="356"/>
      <c r="G4" s="356"/>
      <c r="H4" s="356"/>
      <c r="I4" s="356"/>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c r="A6" s="82"/>
      <c r="B6" s="288" t="s">
        <v>166</v>
      </c>
      <c r="C6" s="288"/>
      <c r="D6" s="289"/>
      <c r="E6" s="326" t="s">
        <v>167</v>
      </c>
      <c r="F6" s="327"/>
      <c r="G6" s="327"/>
      <c r="H6" s="327"/>
      <c r="I6" s="328"/>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46" t="s">
        <v>168</v>
      </c>
      <c r="AP6" s="347"/>
      <c r="AQ6" s="347"/>
      <c r="AR6" s="347"/>
      <c r="AS6" s="347"/>
      <c r="AT6" s="348"/>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c r="A7" s="82"/>
      <c r="B7" s="288"/>
      <c r="C7" s="288"/>
      <c r="D7" s="289"/>
      <c r="E7" s="329"/>
      <c r="F7" s="330"/>
      <c r="G7" s="330"/>
      <c r="H7" s="330"/>
      <c r="I7" s="331"/>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49"/>
      <c r="AP7" s="350"/>
      <c r="AQ7" s="350"/>
      <c r="AR7" s="350"/>
      <c r="AS7" s="350"/>
      <c r="AT7" s="351"/>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c r="A8" s="82"/>
      <c r="B8" s="288"/>
      <c r="C8" s="288"/>
      <c r="D8" s="289"/>
      <c r="E8" s="329"/>
      <c r="F8" s="330"/>
      <c r="G8" s="330"/>
      <c r="H8" s="330"/>
      <c r="I8" s="331"/>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49"/>
      <c r="AP8" s="350"/>
      <c r="AQ8" s="350"/>
      <c r="AR8" s="350"/>
      <c r="AS8" s="350"/>
      <c r="AT8" s="351"/>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c r="A9" s="82"/>
      <c r="B9" s="288"/>
      <c r="C9" s="288"/>
      <c r="D9" s="289"/>
      <c r="E9" s="329"/>
      <c r="F9" s="330"/>
      <c r="G9" s="330"/>
      <c r="H9" s="330"/>
      <c r="I9" s="331"/>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49"/>
      <c r="AP9" s="350"/>
      <c r="AQ9" s="350"/>
      <c r="AR9" s="350"/>
      <c r="AS9" s="350"/>
      <c r="AT9" s="351"/>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c r="A10" s="82"/>
      <c r="B10" s="288"/>
      <c r="C10" s="288"/>
      <c r="D10" s="289"/>
      <c r="E10" s="329"/>
      <c r="F10" s="330"/>
      <c r="G10" s="330"/>
      <c r="H10" s="330"/>
      <c r="I10" s="331"/>
      <c r="J10" s="51" t="str">
        <f>IF(AND('Mapa final'!$Y$34="Muy Alta",'Mapa final'!$AA$34="Leve"),CONCATENATE("R5C",'Mapa final'!$O$34),"")</f>
        <v/>
      </c>
      <c r="K10" s="52" t="str">
        <f>IF(AND('Mapa final'!$Y$35="Muy Alta",'Mapa final'!$AA$35="Leve"),CONCATENATE("R5C",'Mapa final'!$O$35),"")</f>
        <v/>
      </c>
      <c r="L10" s="52" t="str">
        <f>IF(AND('Mapa final'!$Y$36="Muy Alta",'Mapa final'!$AA$36="Leve"),CONCATENATE("R5C",'Mapa final'!$O$36),"")</f>
        <v/>
      </c>
      <c r="M10" s="52" t="str">
        <f>IF(AND('Mapa final'!$Y$37="Muy Alta",'Mapa final'!$AA$37="Leve"),CONCATENATE("R5C",'Mapa final'!$O$37),"")</f>
        <v/>
      </c>
      <c r="N10" s="52" t="str">
        <f>IF(AND('Mapa final'!$Y$38="Muy Alta",'Mapa final'!$AA$38="Leve"),CONCATENATE("R5C",'Mapa final'!$O$38),"")</f>
        <v/>
      </c>
      <c r="O10" s="53" t="str">
        <f>IF(AND('Mapa final'!$Y$39="Muy Alta",'Mapa final'!$AA$39="Leve"),CONCATENATE("R5C",'Mapa final'!$O$39),"")</f>
        <v/>
      </c>
      <c r="P10" s="51" t="str">
        <f>IF(AND('Mapa final'!$Y$34="Muy Alta",'Mapa final'!$AA$34="Menor"),CONCATENATE("R5C",'Mapa final'!$O$34),"")</f>
        <v/>
      </c>
      <c r="Q10" s="52" t="str">
        <f>IF(AND('Mapa final'!$Y$35="Muy Alta",'Mapa final'!$AA$35="Menor"),CONCATENATE("R5C",'Mapa final'!$O$35),"")</f>
        <v/>
      </c>
      <c r="R10" s="52" t="str">
        <f>IF(AND('Mapa final'!$Y$36="Muy Alta",'Mapa final'!$AA$36="Menor"),CONCATENATE("R5C",'Mapa final'!$O$36),"")</f>
        <v/>
      </c>
      <c r="S10" s="52" t="str">
        <f>IF(AND('Mapa final'!$Y$37="Muy Alta",'Mapa final'!$AA$37="Menor"),CONCATENATE("R5C",'Mapa final'!$O$37),"")</f>
        <v/>
      </c>
      <c r="T10" s="52" t="str">
        <f>IF(AND('Mapa final'!$Y$38="Muy Alta",'Mapa final'!$AA$38="Menor"),CONCATENATE("R5C",'Mapa final'!$O$38),"")</f>
        <v/>
      </c>
      <c r="U10" s="53" t="str">
        <f>IF(AND('Mapa final'!$Y$39="Muy Alta",'Mapa final'!$AA$39="Menor"),CONCATENATE("R5C",'Mapa final'!$O$39),"")</f>
        <v/>
      </c>
      <c r="V10" s="51" t="str">
        <f>IF(AND('Mapa final'!$Y$34="Muy Alta",'Mapa final'!$AA$34="Moderado"),CONCATENATE("R5C",'Mapa final'!$O$34),"")</f>
        <v/>
      </c>
      <c r="W10" s="52" t="str">
        <f>IF(AND('Mapa final'!$Y$35="Muy Alta",'Mapa final'!$AA$35="Moderado"),CONCATENATE("R5C",'Mapa final'!$O$35),"")</f>
        <v/>
      </c>
      <c r="X10" s="52" t="str">
        <f>IF(AND('Mapa final'!$Y$36="Muy Alta",'Mapa final'!$AA$36="Moderado"),CONCATENATE("R5C",'Mapa final'!$O$36),"")</f>
        <v/>
      </c>
      <c r="Y10" s="52" t="str">
        <f>IF(AND('Mapa final'!$Y$37="Muy Alta",'Mapa final'!$AA$37="Moderado"),CONCATENATE("R5C",'Mapa final'!$O$37),"")</f>
        <v/>
      </c>
      <c r="Z10" s="52" t="str">
        <f>IF(AND('Mapa final'!$Y$38="Muy Alta",'Mapa final'!$AA$38="Moderado"),CONCATENATE("R5C",'Mapa final'!$O$38),"")</f>
        <v/>
      </c>
      <c r="AA10" s="53" t="str">
        <f>IF(AND('Mapa final'!$Y$39="Muy Alta",'Mapa final'!$AA$39="Moderado"),CONCATENATE("R5C",'Mapa final'!$O$39),"")</f>
        <v/>
      </c>
      <c r="AB10" s="51" t="str">
        <f>IF(AND('Mapa final'!$Y$34="Muy Alta",'Mapa final'!$AA$34="Mayor"),CONCATENATE("R5C",'Mapa final'!$O$34),"")</f>
        <v/>
      </c>
      <c r="AC10" s="52" t="str">
        <f>IF(AND('Mapa final'!$Y$35="Muy Alta",'Mapa final'!$AA$35="Mayor"),CONCATENATE("R5C",'Mapa final'!$O$35),"")</f>
        <v/>
      </c>
      <c r="AD10" s="52" t="str">
        <f>IF(AND('Mapa final'!$Y$36="Muy Alta",'Mapa final'!$AA$36="Mayor"),CONCATENATE("R5C",'Mapa final'!$O$36),"")</f>
        <v/>
      </c>
      <c r="AE10" s="52" t="str">
        <f>IF(AND('Mapa final'!$Y$37="Muy Alta",'Mapa final'!$AA$37="Mayor"),CONCATENATE("R5C",'Mapa final'!$O$37),"")</f>
        <v/>
      </c>
      <c r="AF10" s="52" t="str">
        <f>IF(AND('Mapa final'!$Y$38="Muy Alta",'Mapa final'!$AA$38="Mayor"),CONCATENATE("R5C",'Mapa final'!$O$38),"")</f>
        <v/>
      </c>
      <c r="AG10" s="53" t="str">
        <f>IF(AND('Mapa final'!$Y$39="Muy Alta",'Mapa final'!$AA$39="Mayor"),CONCATENATE("R5C",'Mapa final'!$O$39),"")</f>
        <v/>
      </c>
      <c r="AH10" s="54" t="str">
        <f>IF(AND('Mapa final'!$Y$34="Muy Alta",'Mapa final'!$AA$34="Catastrófico"),CONCATENATE("R5C",'Mapa final'!$O$34),"")</f>
        <v/>
      </c>
      <c r="AI10" s="55" t="str">
        <f>IF(AND('Mapa final'!$Y$35="Muy Alta",'Mapa final'!$AA$35="Catastrófico"),CONCATENATE("R5C",'Mapa final'!$O$35),"")</f>
        <v/>
      </c>
      <c r="AJ10" s="55" t="str">
        <f>IF(AND('Mapa final'!$Y$36="Muy Alta",'Mapa final'!$AA$36="Catastrófico"),CONCATENATE("R5C",'Mapa final'!$O$36),"")</f>
        <v/>
      </c>
      <c r="AK10" s="55" t="str">
        <f>IF(AND('Mapa final'!$Y$37="Muy Alta",'Mapa final'!$AA$37="Catastrófico"),CONCATENATE("R5C",'Mapa final'!$O$37),"")</f>
        <v/>
      </c>
      <c r="AL10" s="55" t="str">
        <f>IF(AND('Mapa final'!$Y$38="Muy Alta",'Mapa final'!$AA$38="Catastrófico"),CONCATENATE("R5C",'Mapa final'!$O$38),"")</f>
        <v/>
      </c>
      <c r="AM10" s="56" t="str">
        <f>IF(AND('Mapa final'!$Y$39="Muy Alta",'Mapa final'!$AA$39="Catastrófico"),CONCATENATE("R5C",'Mapa final'!$O$39),"")</f>
        <v/>
      </c>
      <c r="AN10" s="82"/>
      <c r="AO10" s="349"/>
      <c r="AP10" s="350"/>
      <c r="AQ10" s="350"/>
      <c r="AR10" s="350"/>
      <c r="AS10" s="350"/>
      <c r="AT10" s="351"/>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c r="A11" s="82"/>
      <c r="B11" s="288"/>
      <c r="C11" s="288"/>
      <c r="D11" s="289"/>
      <c r="E11" s="329"/>
      <c r="F11" s="330"/>
      <c r="G11" s="330"/>
      <c r="H11" s="330"/>
      <c r="I11" s="331"/>
      <c r="J11" s="51" t="str">
        <f>IF(AND('Mapa final'!$Y$40="Muy Alta",'Mapa final'!$AA$40="Leve"),CONCATENATE("R6C",'Mapa final'!$O$40),"")</f>
        <v/>
      </c>
      <c r="K11" s="52" t="str">
        <f>IF(AND('Mapa final'!$Y$41="Muy Alta",'Mapa final'!$AA$41="Leve"),CONCATENATE("R6C",'Mapa final'!$O$41),"")</f>
        <v/>
      </c>
      <c r="L11" s="52" t="str">
        <f>IF(AND('Mapa final'!$Y$42="Muy Alta",'Mapa final'!$AA$42="Leve"),CONCATENATE("R6C",'Mapa final'!$O$42),"")</f>
        <v/>
      </c>
      <c r="M11" s="52" t="str">
        <f>IF(AND('Mapa final'!$Y$43="Muy Alta",'Mapa final'!$AA$43="Leve"),CONCATENATE("R6C",'Mapa final'!$O$43),"")</f>
        <v/>
      </c>
      <c r="N11" s="52" t="str">
        <f>IF(AND('Mapa final'!$Y$44="Muy Alta",'Mapa final'!$AA$44="Leve"),CONCATENATE("R6C",'Mapa final'!$O$44),"")</f>
        <v/>
      </c>
      <c r="O11" s="53" t="str">
        <f>IF(AND('Mapa final'!$Y$45="Muy Alta",'Mapa final'!$AA$45="Leve"),CONCATENATE("R6C",'Mapa final'!$O$45),"")</f>
        <v/>
      </c>
      <c r="P11" s="51" t="str">
        <f>IF(AND('Mapa final'!$Y$40="Muy Alta",'Mapa final'!$AA$40="Menor"),CONCATENATE("R6C",'Mapa final'!$O$40),"")</f>
        <v/>
      </c>
      <c r="Q11" s="52" t="str">
        <f>IF(AND('Mapa final'!$Y$41="Muy Alta",'Mapa final'!$AA$41="Menor"),CONCATENATE("R6C",'Mapa final'!$O$41),"")</f>
        <v/>
      </c>
      <c r="R11" s="52" t="str">
        <f>IF(AND('Mapa final'!$Y$42="Muy Alta",'Mapa final'!$AA$42="Menor"),CONCATENATE("R6C",'Mapa final'!$O$42),"")</f>
        <v/>
      </c>
      <c r="S11" s="52" t="str">
        <f>IF(AND('Mapa final'!$Y$43="Muy Alta",'Mapa final'!$AA$43="Menor"),CONCATENATE("R6C",'Mapa final'!$O$43),"")</f>
        <v/>
      </c>
      <c r="T11" s="52" t="str">
        <f>IF(AND('Mapa final'!$Y$44="Muy Alta",'Mapa final'!$AA$44="Menor"),CONCATENATE("R6C",'Mapa final'!$O$44),"")</f>
        <v/>
      </c>
      <c r="U11" s="53" t="str">
        <f>IF(AND('Mapa final'!$Y$45="Muy Alta",'Mapa final'!$AA$45="Menor"),CONCATENATE("R6C",'Mapa final'!$O$45),"")</f>
        <v/>
      </c>
      <c r="V11" s="51" t="str">
        <f>IF(AND('Mapa final'!$Y$40="Muy Alta",'Mapa final'!$AA$40="Moderado"),CONCATENATE("R6C",'Mapa final'!$O$40),"")</f>
        <v/>
      </c>
      <c r="W11" s="52" t="str">
        <f>IF(AND('Mapa final'!$Y$41="Muy Alta",'Mapa final'!$AA$41="Moderado"),CONCATENATE("R6C",'Mapa final'!$O$41),"")</f>
        <v/>
      </c>
      <c r="X11" s="52" t="str">
        <f>IF(AND('Mapa final'!$Y$42="Muy Alta",'Mapa final'!$AA$42="Moderado"),CONCATENATE("R6C",'Mapa final'!$O$42),"")</f>
        <v/>
      </c>
      <c r="Y11" s="52" t="str">
        <f>IF(AND('Mapa final'!$Y$43="Muy Alta",'Mapa final'!$AA$43="Moderado"),CONCATENATE("R6C",'Mapa final'!$O$43),"")</f>
        <v/>
      </c>
      <c r="Z11" s="52" t="str">
        <f>IF(AND('Mapa final'!$Y$44="Muy Alta",'Mapa final'!$AA$44="Moderado"),CONCATENATE("R6C",'Mapa final'!$O$44),"")</f>
        <v/>
      </c>
      <c r="AA11" s="53" t="str">
        <f>IF(AND('Mapa final'!$Y$45="Muy Alta",'Mapa final'!$AA$45="Moderado"),CONCATENATE("R6C",'Mapa final'!$O$45),"")</f>
        <v/>
      </c>
      <c r="AB11" s="51" t="str">
        <f>IF(AND('Mapa final'!$Y$40="Muy Alta",'Mapa final'!$AA$40="Mayor"),CONCATENATE("R6C",'Mapa final'!$O$40),"")</f>
        <v/>
      </c>
      <c r="AC11" s="52" t="str">
        <f>IF(AND('Mapa final'!$Y$41="Muy Alta",'Mapa final'!$AA$41="Mayor"),CONCATENATE("R6C",'Mapa final'!$O$41),"")</f>
        <v/>
      </c>
      <c r="AD11" s="52" t="str">
        <f>IF(AND('Mapa final'!$Y$42="Muy Alta",'Mapa final'!$AA$42="Mayor"),CONCATENATE("R6C",'Mapa final'!$O$42),"")</f>
        <v/>
      </c>
      <c r="AE11" s="52" t="str">
        <f>IF(AND('Mapa final'!$Y$43="Muy Alta",'Mapa final'!$AA$43="Mayor"),CONCATENATE("R6C",'Mapa final'!$O$43),"")</f>
        <v/>
      </c>
      <c r="AF11" s="52" t="str">
        <f>IF(AND('Mapa final'!$Y$44="Muy Alta",'Mapa final'!$AA$44="Mayor"),CONCATENATE("R6C",'Mapa final'!$O$44),"")</f>
        <v/>
      </c>
      <c r="AG11" s="53" t="str">
        <f>IF(AND('Mapa final'!$Y$45="Muy Alta",'Mapa final'!$AA$45="Mayor"),CONCATENATE("R6C",'Mapa final'!$O$45),"")</f>
        <v/>
      </c>
      <c r="AH11" s="54" t="str">
        <f>IF(AND('Mapa final'!$Y$40="Muy Alta",'Mapa final'!$AA$40="Catastrófico"),CONCATENATE("R6C",'Mapa final'!$O$40),"")</f>
        <v/>
      </c>
      <c r="AI11" s="55" t="str">
        <f>IF(AND('Mapa final'!$Y$41="Muy Alta",'Mapa final'!$AA$41="Catastrófico"),CONCATENATE("R6C",'Mapa final'!$O$41),"")</f>
        <v/>
      </c>
      <c r="AJ11" s="55" t="str">
        <f>IF(AND('Mapa final'!$Y$42="Muy Alta",'Mapa final'!$AA$42="Catastrófico"),CONCATENATE("R6C",'Mapa final'!$O$42),"")</f>
        <v/>
      </c>
      <c r="AK11" s="55" t="str">
        <f>IF(AND('Mapa final'!$Y$43="Muy Alta",'Mapa final'!$AA$43="Catastrófico"),CONCATENATE("R6C",'Mapa final'!$O$43),"")</f>
        <v/>
      </c>
      <c r="AL11" s="55" t="str">
        <f>IF(AND('Mapa final'!$Y$44="Muy Alta",'Mapa final'!$AA$44="Catastrófico"),CONCATENATE("R6C",'Mapa final'!$O$44),"")</f>
        <v/>
      </c>
      <c r="AM11" s="56" t="str">
        <f>IF(AND('Mapa final'!$Y$45="Muy Alta",'Mapa final'!$AA$45="Catastrófico"),CONCATENATE("R6C",'Mapa final'!$O$45),"")</f>
        <v/>
      </c>
      <c r="AN11" s="82"/>
      <c r="AO11" s="349"/>
      <c r="AP11" s="350"/>
      <c r="AQ11" s="350"/>
      <c r="AR11" s="350"/>
      <c r="AS11" s="350"/>
      <c r="AT11" s="351"/>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c r="A12" s="82"/>
      <c r="B12" s="288"/>
      <c r="C12" s="288"/>
      <c r="D12" s="289"/>
      <c r="E12" s="329"/>
      <c r="F12" s="330"/>
      <c r="G12" s="330"/>
      <c r="H12" s="330"/>
      <c r="I12" s="331"/>
      <c r="J12" s="51" t="str">
        <f>IF(AND('Mapa final'!$Y$46="Muy Alta",'Mapa final'!$AA$46="Leve"),CONCATENATE("R7C",'Mapa final'!$O$46),"")</f>
        <v/>
      </c>
      <c r="K12" s="52" t="str">
        <f>IF(AND('Mapa final'!$Y$47="Muy Alta",'Mapa final'!$AA$47="Leve"),CONCATENATE("R7C",'Mapa final'!$O$47),"")</f>
        <v/>
      </c>
      <c r="L12" s="52" t="str">
        <f>IF(AND('Mapa final'!$Y$48="Muy Alta",'Mapa final'!$AA$48="Leve"),CONCATENATE("R7C",'Mapa final'!$O$48),"")</f>
        <v/>
      </c>
      <c r="M12" s="52" t="str">
        <f>IF(AND('Mapa final'!$Y$49="Muy Alta",'Mapa final'!$AA$49="Leve"),CONCATENATE("R7C",'Mapa final'!$O$49),"")</f>
        <v/>
      </c>
      <c r="N12" s="52" t="str">
        <f>IF(AND('Mapa final'!$Y$50="Muy Alta",'Mapa final'!$AA$50="Leve"),CONCATENATE("R7C",'Mapa final'!$O$50),"")</f>
        <v/>
      </c>
      <c r="O12" s="53" t="str">
        <f>IF(AND('Mapa final'!$Y$51="Muy Alta",'Mapa final'!$AA$51="Leve"),CONCATENATE("R7C",'Mapa final'!$O$51),"")</f>
        <v/>
      </c>
      <c r="P12" s="51" t="str">
        <f>IF(AND('Mapa final'!$Y$46="Muy Alta",'Mapa final'!$AA$46="Menor"),CONCATENATE("R7C",'Mapa final'!$O$46),"")</f>
        <v/>
      </c>
      <c r="Q12" s="52" t="str">
        <f>IF(AND('Mapa final'!$Y$47="Muy Alta",'Mapa final'!$AA$47="Menor"),CONCATENATE("R7C",'Mapa final'!$O$47),"")</f>
        <v/>
      </c>
      <c r="R12" s="52" t="str">
        <f>IF(AND('Mapa final'!$Y$48="Muy Alta",'Mapa final'!$AA$48="Menor"),CONCATENATE("R7C",'Mapa final'!$O$48),"")</f>
        <v/>
      </c>
      <c r="S12" s="52" t="str">
        <f>IF(AND('Mapa final'!$Y$49="Muy Alta",'Mapa final'!$AA$49="Menor"),CONCATENATE("R7C",'Mapa final'!$O$49),"")</f>
        <v/>
      </c>
      <c r="T12" s="52" t="str">
        <f>IF(AND('Mapa final'!$Y$50="Muy Alta",'Mapa final'!$AA$50="Menor"),CONCATENATE("R7C",'Mapa final'!$O$50),"")</f>
        <v/>
      </c>
      <c r="U12" s="53" t="str">
        <f>IF(AND('Mapa final'!$Y$51="Muy Alta",'Mapa final'!$AA$51="Menor"),CONCATENATE("R7C",'Mapa final'!$O$51),"")</f>
        <v/>
      </c>
      <c r="V12" s="51" t="str">
        <f>IF(AND('Mapa final'!$Y$46="Muy Alta",'Mapa final'!$AA$46="Moderado"),CONCATENATE("R7C",'Mapa final'!$O$46),"")</f>
        <v/>
      </c>
      <c r="W12" s="52" t="str">
        <f>IF(AND('Mapa final'!$Y$47="Muy Alta",'Mapa final'!$AA$47="Moderado"),CONCATENATE("R7C",'Mapa final'!$O$47),"")</f>
        <v/>
      </c>
      <c r="X12" s="52" t="str">
        <f>IF(AND('Mapa final'!$Y$48="Muy Alta",'Mapa final'!$AA$48="Moderado"),CONCATENATE("R7C",'Mapa final'!$O$48),"")</f>
        <v/>
      </c>
      <c r="Y12" s="52" t="str">
        <f>IF(AND('Mapa final'!$Y$49="Muy Alta",'Mapa final'!$AA$49="Moderado"),CONCATENATE("R7C",'Mapa final'!$O$49),"")</f>
        <v/>
      </c>
      <c r="Z12" s="52" t="str">
        <f>IF(AND('Mapa final'!$Y$50="Muy Alta",'Mapa final'!$AA$50="Moderado"),CONCATENATE("R7C",'Mapa final'!$O$50),"")</f>
        <v/>
      </c>
      <c r="AA12" s="53" t="str">
        <f>IF(AND('Mapa final'!$Y$51="Muy Alta",'Mapa final'!$AA$51="Moderado"),CONCATENATE("R7C",'Mapa final'!$O$51),"")</f>
        <v/>
      </c>
      <c r="AB12" s="51" t="str">
        <f>IF(AND('Mapa final'!$Y$46="Muy Alta",'Mapa final'!$AA$46="Mayor"),CONCATENATE("R7C",'Mapa final'!$O$46),"")</f>
        <v/>
      </c>
      <c r="AC12" s="52" t="str">
        <f>IF(AND('Mapa final'!$Y$47="Muy Alta",'Mapa final'!$AA$47="Mayor"),CONCATENATE("R7C",'Mapa final'!$O$47),"")</f>
        <v/>
      </c>
      <c r="AD12" s="52" t="str">
        <f>IF(AND('Mapa final'!$Y$48="Muy Alta",'Mapa final'!$AA$48="Mayor"),CONCATENATE("R7C",'Mapa final'!$O$48),"")</f>
        <v/>
      </c>
      <c r="AE12" s="52" t="str">
        <f>IF(AND('Mapa final'!$Y$49="Muy Alta",'Mapa final'!$AA$49="Mayor"),CONCATENATE("R7C",'Mapa final'!$O$49),"")</f>
        <v/>
      </c>
      <c r="AF12" s="52" t="str">
        <f>IF(AND('Mapa final'!$Y$50="Muy Alta",'Mapa final'!$AA$50="Mayor"),CONCATENATE("R7C",'Mapa final'!$O$50),"")</f>
        <v/>
      </c>
      <c r="AG12" s="53" t="str">
        <f>IF(AND('Mapa final'!$Y$51="Muy Alta",'Mapa final'!$AA$51="Mayor"),CONCATENATE("R7C",'Mapa final'!$O$51),"")</f>
        <v/>
      </c>
      <c r="AH12" s="54" t="str">
        <f>IF(AND('Mapa final'!$Y$46="Muy Alta",'Mapa final'!$AA$46="Catastrófico"),CONCATENATE("R7C",'Mapa final'!$O$46),"")</f>
        <v/>
      </c>
      <c r="AI12" s="55" t="str">
        <f>IF(AND('Mapa final'!$Y$47="Muy Alta",'Mapa final'!$AA$47="Catastrófico"),CONCATENATE("R7C",'Mapa final'!$O$47),"")</f>
        <v/>
      </c>
      <c r="AJ12" s="55" t="str">
        <f>IF(AND('Mapa final'!$Y$48="Muy Alta",'Mapa final'!$AA$48="Catastrófico"),CONCATENATE("R7C",'Mapa final'!$O$48),"")</f>
        <v/>
      </c>
      <c r="AK12" s="55" t="str">
        <f>IF(AND('Mapa final'!$Y$49="Muy Alta",'Mapa final'!$AA$49="Catastrófico"),CONCATENATE("R7C",'Mapa final'!$O$49),"")</f>
        <v/>
      </c>
      <c r="AL12" s="55" t="str">
        <f>IF(AND('Mapa final'!$Y$50="Muy Alta",'Mapa final'!$AA$50="Catastrófico"),CONCATENATE("R7C",'Mapa final'!$O$50),"")</f>
        <v/>
      </c>
      <c r="AM12" s="56" t="str">
        <f>IF(AND('Mapa final'!$Y$51="Muy Alta",'Mapa final'!$AA$51="Catastrófico"),CONCATENATE("R7C",'Mapa final'!$O$51),"")</f>
        <v/>
      </c>
      <c r="AN12" s="82"/>
      <c r="AO12" s="349"/>
      <c r="AP12" s="350"/>
      <c r="AQ12" s="350"/>
      <c r="AR12" s="350"/>
      <c r="AS12" s="350"/>
      <c r="AT12" s="351"/>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c r="A13" s="82"/>
      <c r="B13" s="288"/>
      <c r="C13" s="288"/>
      <c r="D13" s="289"/>
      <c r="E13" s="329"/>
      <c r="F13" s="330"/>
      <c r="G13" s="330"/>
      <c r="H13" s="330"/>
      <c r="I13" s="331"/>
      <c r="J13" s="51" t="str">
        <f>IF(AND('Mapa final'!$Y$52="Muy Alta",'Mapa final'!$AA$52="Leve"),CONCATENATE("R8C",'Mapa final'!$O$52),"")</f>
        <v/>
      </c>
      <c r="K13" s="52" t="str">
        <f>IF(AND('Mapa final'!$Y$53="Muy Alta",'Mapa final'!$AA$53="Leve"),CONCATENATE("R8C",'Mapa final'!$O$53),"")</f>
        <v/>
      </c>
      <c r="L13" s="52" t="str">
        <f>IF(AND('Mapa final'!$Y$54="Muy Alta",'Mapa final'!$AA$54="Leve"),CONCATENATE("R8C",'Mapa final'!$O$54),"")</f>
        <v/>
      </c>
      <c r="M13" s="52" t="str">
        <f>IF(AND('Mapa final'!$Y$55="Muy Alta",'Mapa final'!$AA$55="Leve"),CONCATENATE("R8C",'Mapa final'!$O$55),"")</f>
        <v/>
      </c>
      <c r="N13" s="52" t="str">
        <f>IF(AND('Mapa final'!$Y$56="Muy Alta",'Mapa final'!$AA$56="Leve"),CONCATENATE("R8C",'Mapa final'!$O$56),"")</f>
        <v/>
      </c>
      <c r="O13" s="53" t="str">
        <f>IF(AND('Mapa final'!$Y$57="Muy Alta",'Mapa final'!$AA$57="Leve"),CONCATENATE("R8C",'Mapa final'!$O$57),"")</f>
        <v/>
      </c>
      <c r="P13" s="51" t="str">
        <f>IF(AND('Mapa final'!$Y$52="Muy Alta",'Mapa final'!$AA$52="Menor"),CONCATENATE("R8C",'Mapa final'!$O$52),"")</f>
        <v/>
      </c>
      <c r="Q13" s="52" t="str">
        <f>IF(AND('Mapa final'!$Y$53="Muy Alta",'Mapa final'!$AA$53="Menor"),CONCATENATE("R8C",'Mapa final'!$O$53),"")</f>
        <v/>
      </c>
      <c r="R13" s="52" t="str">
        <f>IF(AND('Mapa final'!$Y$54="Muy Alta",'Mapa final'!$AA$54="Menor"),CONCATENATE("R8C",'Mapa final'!$O$54),"")</f>
        <v/>
      </c>
      <c r="S13" s="52" t="str">
        <f>IF(AND('Mapa final'!$Y$55="Muy Alta",'Mapa final'!$AA$55="Menor"),CONCATENATE("R8C",'Mapa final'!$O$55),"")</f>
        <v/>
      </c>
      <c r="T13" s="52" t="str">
        <f>IF(AND('Mapa final'!$Y$56="Muy Alta",'Mapa final'!$AA$56="Menor"),CONCATENATE("R8C",'Mapa final'!$O$56),"")</f>
        <v/>
      </c>
      <c r="U13" s="53" t="str">
        <f>IF(AND('Mapa final'!$Y$57="Muy Alta",'Mapa final'!$AA$57="Menor"),CONCATENATE("R8C",'Mapa final'!$O$57),"")</f>
        <v/>
      </c>
      <c r="V13" s="51" t="str">
        <f>IF(AND('Mapa final'!$Y$52="Muy Alta",'Mapa final'!$AA$52="Moderado"),CONCATENATE("R8C",'Mapa final'!$O$52),"")</f>
        <v/>
      </c>
      <c r="W13" s="52" t="str">
        <f>IF(AND('Mapa final'!$Y$53="Muy Alta",'Mapa final'!$AA$53="Moderado"),CONCATENATE("R8C",'Mapa final'!$O$53),"")</f>
        <v/>
      </c>
      <c r="X13" s="52" t="str">
        <f>IF(AND('Mapa final'!$Y$54="Muy Alta",'Mapa final'!$AA$54="Moderado"),CONCATENATE("R8C",'Mapa final'!$O$54),"")</f>
        <v/>
      </c>
      <c r="Y13" s="52" t="str">
        <f>IF(AND('Mapa final'!$Y$55="Muy Alta",'Mapa final'!$AA$55="Moderado"),CONCATENATE("R8C",'Mapa final'!$O$55),"")</f>
        <v/>
      </c>
      <c r="Z13" s="52" t="str">
        <f>IF(AND('Mapa final'!$Y$56="Muy Alta",'Mapa final'!$AA$56="Moderado"),CONCATENATE("R8C",'Mapa final'!$O$56),"")</f>
        <v/>
      </c>
      <c r="AA13" s="53" t="str">
        <f>IF(AND('Mapa final'!$Y$57="Muy Alta",'Mapa final'!$AA$57="Moderado"),CONCATENATE("R8C",'Mapa final'!$O$57),"")</f>
        <v/>
      </c>
      <c r="AB13" s="51" t="str">
        <f>IF(AND('Mapa final'!$Y$52="Muy Alta",'Mapa final'!$AA$52="Mayor"),CONCATENATE("R8C",'Mapa final'!$O$52),"")</f>
        <v/>
      </c>
      <c r="AC13" s="52" t="str">
        <f>IF(AND('Mapa final'!$Y$53="Muy Alta",'Mapa final'!$AA$53="Mayor"),CONCATENATE("R8C",'Mapa final'!$O$53),"")</f>
        <v/>
      </c>
      <c r="AD13" s="52" t="str">
        <f>IF(AND('Mapa final'!$Y$54="Muy Alta",'Mapa final'!$AA$54="Mayor"),CONCATENATE("R8C",'Mapa final'!$O$54),"")</f>
        <v/>
      </c>
      <c r="AE13" s="52" t="str">
        <f>IF(AND('Mapa final'!$Y$55="Muy Alta",'Mapa final'!$AA$55="Mayor"),CONCATENATE("R8C",'Mapa final'!$O$55),"")</f>
        <v/>
      </c>
      <c r="AF13" s="52" t="str">
        <f>IF(AND('Mapa final'!$Y$56="Muy Alta",'Mapa final'!$AA$56="Mayor"),CONCATENATE("R8C",'Mapa final'!$O$56),"")</f>
        <v/>
      </c>
      <c r="AG13" s="53" t="str">
        <f>IF(AND('Mapa final'!$Y$57="Muy Alta",'Mapa final'!$AA$57="Mayor"),CONCATENATE("R8C",'Mapa final'!$O$57),"")</f>
        <v/>
      </c>
      <c r="AH13" s="54" t="str">
        <f>IF(AND('Mapa final'!$Y$52="Muy Alta",'Mapa final'!$AA$52="Catastrófico"),CONCATENATE("R8C",'Mapa final'!$O$52),"")</f>
        <v/>
      </c>
      <c r="AI13" s="55" t="str">
        <f>IF(AND('Mapa final'!$Y$53="Muy Alta",'Mapa final'!$AA$53="Catastrófico"),CONCATENATE("R8C",'Mapa final'!$O$53),"")</f>
        <v/>
      </c>
      <c r="AJ13" s="55" t="str">
        <f>IF(AND('Mapa final'!$Y$54="Muy Alta",'Mapa final'!$AA$54="Catastrófico"),CONCATENATE("R8C",'Mapa final'!$O$54),"")</f>
        <v/>
      </c>
      <c r="AK13" s="55" t="str">
        <f>IF(AND('Mapa final'!$Y$55="Muy Alta",'Mapa final'!$AA$55="Catastrófico"),CONCATENATE("R8C",'Mapa final'!$O$55),"")</f>
        <v/>
      </c>
      <c r="AL13" s="55" t="str">
        <f>IF(AND('Mapa final'!$Y$56="Muy Alta",'Mapa final'!$AA$56="Catastrófico"),CONCATENATE("R8C",'Mapa final'!$O$56),"")</f>
        <v/>
      </c>
      <c r="AM13" s="56" t="str">
        <f>IF(AND('Mapa final'!$Y$57="Muy Alta",'Mapa final'!$AA$57="Catastrófico"),CONCATENATE("R8C",'Mapa final'!$O$57),"")</f>
        <v/>
      </c>
      <c r="AN13" s="82"/>
      <c r="AO13" s="349"/>
      <c r="AP13" s="350"/>
      <c r="AQ13" s="350"/>
      <c r="AR13" s="350"/>
      <c r="AS13" s="350"/>
      <c r="AT13" s="351"/>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c r="A14" s="82"/>
      <c r="B14" s="288"/>
      <c r="C14" s="288"/>
      <c r="D14" s="289"/>
      <c r="E14" s="329"/>
      <c r="F14" s="330"/>
      <c r="G14" s="330"/>
      <c r="H14" s="330"/>
      <c r="I14" s="331"/>
      <c r="J14" s="51" t="str">
        <f>IF(AND('Mapa final'!$Y$58="Muy Alta",'Mapa final'!$AA$58="Leve"),CONCATENATE("R9C",'Mapa final'!$O$58),"")</f>
        <v/>
      </c>
      <c r="K14" s="52" t="str">
        <f>IF(AND('Mapa final'!$Y$59="Muy Alta",'Mapa final'!$AA$59="Leve"),CONCATENATE("R9C",'Mapa final'!$O$59),"")</f>
        <v/>
      </c>
      <c r="L14" s="52" t="str">
        <f>IF(AND('Mapa final'!$Y$60="Muy Alta",'Mapa final'!$AA$60="Leve"),CONCATENATE("R9C",'Mapa final'!$O$60),"")</f>
        <v/>
      </c>
      <c r="M14" s="52" t="str">
        <f>IF(AND('Mapa final'!$Y$61="Muy Alta",'Mapa final'!$AA$61="Leve"),CONCATENATE("R9C",'Mapa final'!$O$61),"")</f>
        <v/>
      </c>
      <c r="N14" s="52" t="str">
        <f>IF(AND('Mapa final'!$Y$62="Muy Alta",'Mapa final'!$AA$62="Leve"),CONCATENATE("R9C",'Mapa final'!$O$62),"")</f>
        <v/>
      </c>
      <c r="O14" s="53" t="str">
        <f>IF(AND('Mapa final'!$Y$63="Muy Alta",'Mapa final'!$AA$63="Leve"),CONCATENATE("R9C",'Mapa final'!$O$63),"")</f>
        <v/>
      </c>
      <c r="P14" s="51" t="str">
        <f>IF(AND('Mapa final'!$Y$58="Muy Alta",'Mapa final'!$AA$58="Menor"),CONCATENATE("R9C",'Mapa final'!$O$58),"")</f>
        <v/>
      </c>
      <c r="Q14" s="52" t="str">
        <f>IF(AND('Mapa final'!$Y$59="Muy Alta",'Mapa final'!$AA$59="Menor"),CONCATENATE("R9C",'Mapa final'!$O$59),"")</f>
        <v/>
      </c>
      <c r="R14" s="52" t="str">
        <f>IF(AND('Mapa final'!$Y$60="Muy Alta",'Mapa final'!$AA$60="Menor"),CONCATENATE("R9C",'Mapa final'!$O$60),"")</f>
        <v/>
      </c>
      <c r="S14" s="52" t="str">
        <f>IF(AND('Mapa final'!$Y$61="Muy Alta",'Mapa final'!$AA$61="Menor"),CONCATENATE("R9C",'Mapa final'!$O$61),"")</f>
        <v/>
      </c>
      <c r="T14" s="52" t="str">
        <f>IF(AND('Mapa final'!$Y$62="Muy Alta",'Mapa final'!$AA$62="Menor"),CONCATENATE("R9C",'Mapa final'!$O$62),"")</f>
        <v/>
      </c>
      <c r="U14" s="53" t="str">
        <f>IF(AND('Mapa final'!$Y$63="Muy Alta",'Mapa final'!$AA$63="Menor"),CONCATENATE("R9C",'Mapa final'!$O$63),"")</f>
        <v/>
      </c>
      <c r="V14" s="51" t="str">
        <f>IF(AND('Mapa final'!$Y$58="Muy Alta",'Mapa final'!$AA$58="Moderado"),CONCATENATE("R9C",'Mapa final'!$O$58),"")</f>
        <v/>
      </c>
      <c r="W14" s="52" t="str">
        <f>IF(AND('Mapa final'!$Y$59="Muy Alta",'Mapa final'!$AA$59="Moderado"),CONCATENATE("R9C",'Mapa final'!$O$59),"")</f>
        <v/>
      </c>
      <c r="X14" s="52" t="str">
        <f>IF(AND('Mapa final'!$Y$60="Muy Alta",'Mapa final'!$AA$60="Moderado"),CONCATENATE("R9C",'Mapa final'!$O$60),"")</f>
        <v/>
      </c>
      <c r="Y14" s="52" t="str">
        <f>IF(AND('Mapa final'!$Y$61="Muy Alta",'Mapa final'!$AA$61="Moderado"),CONCATENATE("R9C",'Mapa final'!$O$61),"")</f>
        <v/>
      </c>
      <c r="Z14" s="52" t="str">
        <f>IF(AND('Mapa final'!$Y$62="Muy Alta",'Mapa final'!$AA$62="Moderado"),CONCATENATE("R9C",'Mapa final'!$O$62),"")</f>
        <v/>
      </c>
      <c r="AA14" s="53" t="str">
        <f>IF(AND('Mapa final'!$Y$63="Muy Alta",'Mapa final'!$AA$63="Moderado"),CONCATENATE("R9C",'Mapa final'!$O$63),"")</f>
        <v/>
      </c>
      <c r="AB14" s="51" t="str">
        <f>IF(AND('Mapa final'!$Y$58="Muy Alta",'Mapa final'!$AA$58="Mayor"),CONCATENATE("R9C",'Mapa final'!$O$58),"")</f>
        <v/>
      </c>
      <c r="AC14" s="52" t="str">
        <f>IF(AND('Mapa final'!$Y$59="Muy Alta",'Mapa final'!$AA$59="Mayor"),CONCATENATE("R9C",'Mapa final'!$O$59),"")</f>
        <v/>
      </c>
      <c r="AD14" s="52" t="str">
        <f>IF(AND('Mapa final'!$Y$60="Muy Alta",'Mapa final'!$AA$60="Mayor"),CONCATENATE("R9C",'Mapa final'!$O$60),"")</f>
        <v/>
      </c>
      <c r="AE14" s="52" t="str">
        <f>IF(AND('Mapa final'!$Y$61="Muy Alta",'Mapa final'!$AA$61="Mayor"),CONCATENATE("R9C",'Mapa final'!$O$61),"")</f>
        <v/>
      </c>
      <c r="AF14" s="52" t="str">
        <f>IF(AND('Mapa final'!$Y$62="Muy Alta",'Mapa final'!$AA$62="Mayor"),CONCATENATE("R9C",'Mapa final'!$O$62),"")</f>
        <v/>
      </c>
      <c r="AG14" s="53" t="str">
        <f>IF(AND('Mapa final'!$Y$63="Muy Alta",'Mapa final'!$AA$63="Mayor"),CONCATENATE("R9C",'Mapa final'!$O$63),"")</f>
        <v/>
      </c>
      <c r="AH14" s="54" t="str">
        <f>IF(AND('Mapa final'!$Y$58="Muy Alta",'Mapa final'!$AA$58="Catastrófico"),CONCATENATE("R9C",'Mapa final'!$O$58),"")</f>
        <v/>
      </c>
      <c r="AI14" s="55" t="str">
        <f>IF(AND('Mapa final'!$Y$59="Muy Alta",'Mapa final'!$AA$59="Catastrófico"),CONCATENATE("R9C",'Mapa final'!$O$59),"")</f>
        <v/>
      </c>
      <c r="AJ14" s="55" t="str">
        <f>IF(AND('Mapa final'!$Y$60="Muy Alta",'Mapa final'!$AA$60="Catastrófico"),CONCATENATE("R9C",'Mapa final'!$O$60),"")</f>
        <v/>
      </c>
      <c r="AK14" s="55" t="str">
        <f>IF(AND('Mapa final'!$Y$61="Muy Alta",'Mapa final'!$AA$61="Catastrófico"),CONCATENATE("R9C",'Mapa final'!$O$61),"")</f>
        <v/>
      </c>
      <c r="AL14" s="55" t="str">
        <f>IF(AND('Mapa final'!$Y$62="Muy Alta",'Mapa final'!$AA$62="Catastrófico"),CONCATENATE("R9C",'Mapa final'!$O$62),"")</f>
        <v/>
      </c>
      <c r="AM14" s="56" t="str">
        <f>IF(AND('Mapa final'!$Y$63="Muy Alta",'Mapa final'!$AA$63="Catastrófico"),CONCATENATE("R9C",'Mapa final'!$O$63),"")</f>
        <v/>
      </c>
      <c r="AN14" s="82"/>
      <c r="AO14" s="349"/>
      <c r="AP14" s="350"/>
      <c r="AQ14" s="350"/>
      <c r="AR14" s="350"/>
      <c r="AS14" s="350"/>
      <c r="AT14" s="351"/>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c r="A15" s="82"/>
      <c r="B15" s="288"/>
      <c r="C15" s="288"/>
      <c r="D15" s="289"/>
      <c r="E15" s="332"/>
      <c r="F15" s="333"/>
      <c r="G15" s="333"/>
      <c r="H15" s="333"/>
      <c r="I15" s="334"/>
      <c r="J15" s="57" t="str">
        <f>IF(AND('Mapa final'!$Y$64="Muy Alta",'Mapa final'!$AA$64="Leve"),CONCATENATE("R10C",'Mapa final'!$O$64),"")</f>
        <v/>
      </c>
      <c r="K15" s="58" t="str">
        <f>IF(AND('Mapa final'!$Y$65="Muy Alta",'Mapa final'!$AA$65="Leve"),CONCATENATE("R10C",'Mapa final'!$O$65),"")</f>
        <v/>
      </c>
      <c r="L15" s="58" t="str">
        <f>IF(AND('Mapa final'!$Y$66="Muy Alta",'Mapa final'!$AA$66="Leve"),CONCATENATE("R10C",'Mapa final'!$O$66),"")</f>
        <v/>
      </c>
      <c r="M15" s="58" t="str">
        <f>IF(AND('Mapa final'!$Y$67="Muy Alta",'Mapa final'!$AA$67="Leve"),CONCATENATE("R10C",'Mapa final'!$O$67),"")</f>
        <v/>
      </c>
      <c r="N15" s="58" t="str">
        <f>IF(AND('Mapa final'!$Y$68="Muy Alta",'Mapa final'!$AA$68="Leve"),CONCATENATE("R10C",'Mapa final'!$O$68),"")</f>
        <v/>
      </c>
      <c r="O15" s="59" t="str">
        <f>IF(AND('Mapa final'!$Y$69="Muy Alta",'Mapa final'!$AA$69="Leve"),CONCATENATE("R10C",'Mapa final'!$O$69),"")</f>
        <v/>
      </c>
      <c r="P15" s="51" t="str">
        <f>IF(AND('Mapa final'!$Y$64="Muy Alta",'Mapa final'!$AA$64="Menor"),CONCATENATE("R10C",'Mapa final'!$O$64),"")</f>
        <v/>
      </c>
      <c r="Q15" s="52" t="str">
        <f>IF(AND('Mapa final'!$Y$65="Muy Alta",'Mapa final'!$AA$65="Menor"),CONCATENATE("R10C",'Mapa final'!$O$65),"")</f>
        <v/>
      </c>
      <c r="R15" s="52" t="str">
        <f>IF(AND('Mapa final'!$Y$66="Muy Alta",'Mapa final'!$AA$66="Menor"),CONCATENATE("R10C",'Mapa final'!$O$66),"")</f>
        <v/>
      </c>
      <c r="S15" s="52" t="str">
        <f>IF(AND('Mapa final'!$Y$67="Muy Alta",'Mapa final'!$AA$67="Menor"),CONCATENATE("R10C",'Mapa final'!$O$67),"")</f>
        <v/>
      </c>
      <c r="T15" s="52" t="str">
        <f>IF(AND('Mapa final'!$Y$68="Muy Alta",'Mapa final'!$AA$68="Menor"),CONCATENATE("R10C",'Mapa final'!$O$68),"")</f>
        <v/>
      </c>
      <c r="U15" s="53" t="str">
        <f>IF(AND('Mapa final'!$Y$69="Muy Alta",'Mapa final'!$AA$69="Menor"),CONCATENATE("R10C",'Mapa final'!$O$69),"")</f>
        <v/>
      </c>
      <c r="V15" s="57" t="str">
        <f>IF(AND('Mapa final'!$Y$64="Muy Alta",'Mapa final'!$AA$64="Moderado"),CONCATENATE("R10C",'Mapa final'!$O$64),"")</f>
        <v/>
      </c>
      <c r="W15" s="58" t="str">
        <f>IF(AND('Mapa final'!$Y$65="Muy Alta",'Mapa final'!$AA$65="Moderado"),CONCATENATE("R10C",'Mapa final'!$O$65),"")</f>
        <v/>
      </c>
      <c r="X15" s="58" t="str">
        <f>IF(AND('Mapa final'!$Y$66="Muy Alta",'Mapa final'!$AA$66="Moderado"),CONCATENATE("R10C",'Mapa final'!$O$66),"")</f>
        <v/>
      </c>
      <c r="Y15" s="58" t="str">
        <f>IF(AND('Mapa final'!$Y$67="Muy Alta",'Mapa final'!$AA$67="Moderado"),CONCATENATE("R10C",'Mapa final'!$O$67),"")</f>
        <v/>
      </c>
      <c r="Z15" s="58" t="str">
        <f>IF(AND('Mapa final'!$Y$68="Muy Alta",'Mapa final'!$AA$68="Moderado"),CONCATENATE("R10C",'Mapa final'!$O$68),"")</f>
        <v/>
      </c>
      <c r="AA15" s="59" t="str">
        <f>IF(AND('Mapa final'!$Y$69="Muy Alta",'Mapa final'!$AA$69="Moderado"),CONCATENATE("R10C",'Mapa final'!$O$69),"")</f>
        <v/>
      </c>
      <c r="AB15" s="51" t="str">
        <f>IF(AND('Mapa final'!$Y$64="Muy Alta",'Mapa final'!$AA$64="Mayor"),CONCATENATE("R10C",'Mapa final'!$O$64),"")</f>
        <v/>
      </c>
      <c r="AC15" s="52" t="str">
        <f>IF(AND('Mapa final'!$Y$65="Muy Alta",'Mapa final'!$AA$65="Mayor"),CONCATENATE("R10C",'Mapa final'!$O$65),"")</f>
        <v/>
      </c>
      <c r="AD15" s="52" t="str">
        <f>IF(AND('Mapa final'!$Y$66="Muy Alta",'Mapa final'!$AA$66="Mayor"),CONCATENATE("R10C",'Mapa final'!$O$66),"")</f>
        <v/>
      </c>
      <c r="AE15" s="52" t="str">
        <f>IF(AND('Mapa final'!$Y$67="Muy Alta",'Mapa final'!$AA$67="Mayor"),CONCATENATE("R10C",'Mapa final'!$O$67),"")</f>
        <v/>
      </c>
      <c r="AF15" s="52" t="str">
        <f>IF(AND('Mapa final'!$Y$68="Muy Alta",'Mapa final'!$AA$68="Mayor"),CONCATENATE("R10C",'Mapa final'!$O$68),"")</f>
        <v/>
      </c>
      <c r="AG15" s="53" t="str">
        <f>IF(AND('Mapa final'!$Y$69="Muy Alta",'Mapa final'!$AA$69="Mayor"),CONCATENATE("R10C",'Mapa final'!$O$69),"")</f>
        <v/>
      </c>
      <c r="AH15" s="60" t="str">
        <f>IF(AND('Mapa final'!$Y$64="Muy Alta",'Mapa final'!$AA$64="Catastrófico"),CONCATENATE("R10C",'Mapa final'!$O$64),"")</f>
        <v/>
      </c>
      <c r="AI15" s="61" t="str">
        <f>IF(AND('Mapa final'!$Y$65="Muy Alta",'Mapa final'!$AA$65="Catastrófico"),CONCATENATE("R10C",'Mapa final'!$O$65),"")</f>
        <v/>
      </c>
      <c r="AJ15" s="61" t="str">
        <f>IF(AND('Mapa final'!$Y$66="Muy Alta",'Mapa final'!$AA$66="Catastrófico"),CONCATENATE("R10C",'Mapa final'!$O$66),"")</f>
        <v/>
      </c>
      <c r="AK15" s="61" t="str">
        <f>IF(AND('Mapa final'!$Y$67="Muy Alta",'Mapa final'!$AA$67="Catastrófico"),CONCATENATE("R10C",'Mapa final'!$O$67),"")</f>
        <v/>
      </c>
      <c r="AL15" s="61" t="str">
        <f>IF(AND('Mapa final'!$Y$68="Muy Alta",'Mapa final'!$AA$68="Catastrófico"),CONCATENATE("R10C",'Mapa final'!$O$68),"")</f>
        <v/>
      </c>
      <c r="AM15" s="62" t="str">
        <f>IF(AND('Mapa final'!$Y$69="Muy Alta",'Mapa final'!$AA$69="Catastrófico"),CONCATENATE("R10C",'Mapa final'!$O$69),"")</f>
        <v/>
      </c>
      <c r="AN15" s="82"/>
      <c r="AO15" s="352"/>
      <c r="AP15" s="353"/>
      <c r="AQ15" s="353"/>
      <c r="AR15" s="353"/>
      <c r="AS15" s="353"/>
      <c r="AT15" s="354"/>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c r="A16" s="82"/>
      <c r="B16" s="288"/>
      <c r="C16" s="288"/>
      <c r="D16" s="289"/>
      <c r="E16" s="326" t="s">
        <v>169</v>
      </c>
      <c r="F16" s="327"/>
      <c r="G16" s="327"/>
      <c r="H16" s="327"/>
      <c r="I16" s="327"/>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36" t="s">
        <v>170</v>
      </c>
      <c r="AP16" s="337"/>
      <c r="AQ16" s="337"/>
      <c r="AR16" s="337"/>
      <c r="AS16" s="337"/>
      <c r="AT16" s="338"/>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c r="A17" s="82"/>
      <c r="B17" s="288"/>
      <c r="C17" s="288"/>
      <c r="D17" s="289"/>
      <c r="E17" s="345"/>
      <c r="F17" s="330"/>
      <c r="G17" s="330"/>
      <c r="H17" s="330"/>
      <c r="I17" s="330"/>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39"/>
      <c r="AP17" s="340"/>
      <c r="AQ17" s="340"/>
      <c r="AR17" s="340"/>
      <c r="AS17" s="340"/>
      <c r="AT17" s="341"/>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c r="A18" s="82"/>
      <c r="B18" s="288"/>
      <c r="C18" s="288"/>
      <c r="D18" s="289"/>
      <c r="E18" s="329"/>
      <c r="F18" s="330"/>
      <c r="G18" s="330"/>
      <c r="H18" s="330"/>
      <c r="I18" s="330"/>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39"/>
      <c r="AP18" s="340"/>
      <c r="AQ18" s="340"/>
      <c r="AR18" s="340"/>
      <c r="AS18" s="340"/>
      <c r="AT18" s="341"/>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c r="A19" s="82"/>
      <c r="B19" s="288"/>
      <c r="C19" s="288"/>
      <c r="D19" s="289"/>
      <c r="E19" s="329"/>
      <c r="F19" s="330"/>
      <c r="G19" s="330"/>
      <c r="H19" s="330"/>
      <c r="I19" s="330"/>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39"/>
      <c r="AP19" s="340"/>
      <c r="AQ19" s="340"/>
      <c r="AR19" s="340"/>
      <c r="AS19" s="340"/>
      <c r="AT19" s="341"/>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c r="A20" s="82"/>
      <c r="B20" s="288"/>
      <c r="C20" s="288"/>
      <c r="D20" s="289"/>
      <c r="E20" s="329"/>
      <c r="F20" s="330"/>
      <c r="G20" s="330"/>
      <c r="H20" s="330"/>
      <c r="I20" s="330"/>
      <c r="J20" s="66" t="str">
        <f>IF(AND('Mapa final'!$Y$34="Alta",'Mapa final'!$AA$34="Leve"),CONCATENATE("R5C",'Mapa final'!$O$34),"")</f>
        <v/>
      </c>
      <c r="K20" s="67" t="str">
        <f>IF(AND('Mapa final'!$Y$35="Alta",'Mapa final'!$AA$35="Leve"),CONCATENATE("R5C",'Mapa final'!$O$35),"")</f>
        <v/>
      </c>
      <c r="L20" s="67" t="str">
        <f>IF(AND('Mapa final'!$Y$36="Alta",'Mapa final'!$AA$36="Leve"),CONCATENATE("R5C",'Mapa final'!$O$36),"")</f>
        <v/>
      </c>
      <c r="M20" s="67" t="str">
        <f>IF(AND('Mapa final'!$Y$37="Alta",'Mapa final'!$AA$37="Leve"),CONCATENATE("R5C",'Mapa final'!$O$37),"")</f>
        <v/>
      </c>
      <c r="N20" s="67" t="str">
        <f>IF(AND('Mapa final'!$Y$38="Alta",'Mapa final'!$AA$38="Leve"),CONCATENATE("R5C",'Mapa final'!$O$38),"")</f>
        <v/>
      </c>
      <c r="O20" s="68" t="str">
        <f>IF(AND('Mapa final'!$Y$39="Alta",'Mapa final'!$AA$39="Leve"),CONCATENATE("R5C",'Mapa final'!$O$39),"")</f>
        <v/>
      </c>
      <c r="P20" s="66" t="str">
        <f>IF(AND('Mapa final'!$Y$34="Alta",'Mapa final'!$AA$34="Menor"),CONCATENATE("R5C",'Mapa final'!$O$34),"")</f>
        <v/>
      </c>
      <c r="Q20" s="67" t="str">
        <f>IF(AND('Mapa final'!$Y$35="Alta",'Mapa final'!$AA$35="Menor"),CONCATENATE("R5C",'Mapa final'!$O$35),"")</f>
        <v/>
      </c>
      <c r="R20" s="67" t="str">
        <f>IF(AND('Mapa final'!$Y$36="Alta",'Mapa final'!$AA$36="Menor"),CONCATENATE("R5C",'Mapa final'!$O$36),"")</f>
        <v/>
      </c>
      <c r="S20" s="67" t="str">
        <f>IF(AND('Mapa final'!$Y$37="Alta",'Mapa final'!$AA$37="Menor"),CONCATENATE("R5C",'Mapa final'!$O$37),"")</f>
        <v/>
      </c>
      <c r="T20" s="67" t="str">
        <f>IF(AND('Mapa final'!$Y$38="Alta",'Mapa final'!$AA$38="Menor"),CONCATENATE("R5C",'Mapa final'!$O$38),"")</f>
        <v/>
      </c>
      <c r="U20" s="68" t="str">
        <f>IF(AND('Mapa final'!$Y$39="Alta",'Mapa final'!$AA$39="Menor"),CONCATENATE("R5C",'Mapa final'!$O$39),"")</f>
        <v/>
      </c>
      <c r="V20" s="51" t="str">
        <f>IF(AND('Mapa final'!$Y$34="Alta",'Mapa final'!$AA$34="Moderado"),CONCATENATE("R5C",'Mapa final'!$O$34),"")</f>
        <v/>
      </c>
      <c r="W20" s="52" t="str">
        <f>IF(AND('Mapa final'!$Y$35="Alta",'Mapa final'!$AA$35="Moderado"),CONCATENATE("R5C",'Mapa final'!$O$35),"")</f>
        <v/>
      </c>
      <c r="X20" s="52" t="str">
        <f>IF(AND('Mapa final'!$Y$36="Alta",'Mapa final'!$AA$36="Moderado"),CONCATENATE("R5C",'Mapa final'!$O$36),"")</f>
        <v/>
      </c>
      <c r="Y20" s="52" t="str">
        <f>IF(AND('Mapa final'!$Y$37="Alta",'Mapa final'!$AA$37="Moderado"),CONCATENATE("R5C",'Mapa final'!$O$37),"")</f>
        <v/>
      </c>
      <c r="Z20" s="52" t="str">
        <f>IF(AND('Mapa final'!$Y$38="Alta",'Mapa final'!$AA$38="Moderado"),CONCATENATE("R5C",'Mapa final'!$O$38),"")</f>
        <v/>
      </c>
      <c r="AA20" s="53" t="str">
        <f>IF(AND('Mapa final'!$Y$39="Alta",'Mapa final'!$AA$39="Moderado"),CONCATENATE("R5C",'Mapa final'!$O$39),"")</f>
        <v/>
      </c>
      <c r="AB20" s="51" t="str">
        <f>IF(AND('Mapa final'!$Y$34="Alta",'Mapa final'!$AA$34="Mayor"),CONCATENATE("R5C",'Mapa final'!$O$34),"")</f>
        <v/>
      </c>
      <c r="AC20" s="52" t="str">
        <f>IF(AND('Mapa final'!$Y$35="Alta",'Mapa final'!$AA$35="Mayor"),CONCATENATE("R5C",'Mapa final'!$O$35),"")</f>
        <v/>
      </c>
      <c r="AD20" s="52" t="str">
        <f>IF(AND('Mapa final'!$Y$36="Alta",'Mapa final'!$AA$36="Mayor"),CONCATENATE("R5C",'Mapa final'!$O$36),"")</f>
        <v/>
      </c>
      <c r="AE20" s="52" t="str">
        <f>IF(AND('Mapa final'!$Y$37="Alta",'Mapa final'!$AA$37="Mayor"),CONCATENATE("R5C",'Mapa final'!$O$37),"")</f>
        <v/>
      </c>
      <c r="AF20" s="52" t="str">
        <f>IF(AND('Mapa final'!$Y$38="Alta",'Mapa final'!$AA$38="Mayor"),CONCATENATE("R5C",'Mapa final'!$O$38),"")</f>
        <v/>
      </c>
      <c r="AG20" s="53" t="str">
        <f>IF(AND('Mapa final'!$Y$39="Alta",'Mapa final'!$AA$39="Mayor"),CONCATENATE("R5C",'Mapa final'!$O$39),"")</f>
        <v/>
      </c>
      <c r="AH20" s="54" t="str">
        <f>IF(AND('Mapa final'!$Y$34="Alta",'Mapa final'!$AA$34="Catastrófico"),CONCATENATE("R5C",'Mapa final'!$O$34),"")</f>
        <v/>
      </c>
      <c r="AI20" s="55" t="str">
        <f>IF(AND('Mapa final'!$Y$35="Alta",'Mapa final'!$AA$35="Catastrófico"),CONCATENATE("R5C",'Mapa final'!$O$35),"")</f>
        <v/>
      </c>
      <c r="AJ20" s="55" t="str">
        <f>IF(AND('Mapa final'!$Y$36="Alta",'Mapa final'!$AA$36="Catastrófico"),CONCATENATE("R5C",'Mapa final'!$O$36),"")</f>
        <v/>
      </c>
      <c r="AK20" s="55" t="str">
        <f>IF(AND('Mapa final'!$Y$37="Alta",'Mapa final'!$AA$37="Catastrófico"),CONCATENATE("R5C",'Mapa final'!$O$37),"")</f>
        <v/>
      </c>
      <c r="AL20" s="55" t="str">
        <f>IF(AND('Mapa final'!$Y$38="Alta",'Mapa final'!$AA$38="Catastrófico"),CONCATENATE("R5C",'Mapa final'!$O$38),"")</f>
        <v/>
      </c>
      <c r="AM20" s="56" t="str">
        <f>IF(AND('Mapa final'!$Y$39="Alta",'Mapa final'!$AA$39="Catastrófico"),CONCATENATE("R5C",'Mapa final'!$O$39),"")</f>
        <v/>
      </c>
      <c r="AN20" s="82"/>
      <c r="AO20" s="339"/>
      <c r="AP20" s="340"/>
      <c r="AQ20" s="340"/>
      <c r="AR20" s="340"/>
      <c r="AS20" s="340"/>
      <c r="AT20" s="341"/>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c r="A21" s="82"/>
      <c r="B21" s="288"/>
      <c r="C21" s="288"/>
      <c r="D21" s="289"/>
      <c r="E21" s="329"/>
      <c r="F21" s="330"/>
      <c r="G21" s="330"/>
      <c r="H21" s="330"/>
      <c r="I21" s="330"/>
      <c r="J21" s="66" t="str">
        <f>IF(AND('Mapa final'!$Y$40="Alta",'Mapa final'!$AA$40="Leve"),CONCATENATE("R6C",'Mapa final'!$O$40),"")</f>
        <v/>
      </c>
      <c r="K21" s="67" t="str">
        <f>IF(AND('Mapa final'!$Y$41="Alta",'Mapa final'!$AA$41="Leve"),CONCATENATE("R6C",'Mapa final'!$O$41),"")</f>
        <v/>
      </c>
      <c r="L21" s="67" t="str">
        <f>IF(AND('Mapa final'!$Y$42="Alta",'Mapa final'!$AA$42="Leve"),CONCATENATE("R6C",'Mapa final'!$O$42),"")</f>
        <v/>
      </c>
      <c r="M21" s="67" t="str">
        <f>IF(AND('Mapa final'!$Y$43="Alta",'Mapa final'!$AA$43="Leve"),CONCATENATE("R6C",'Mapa final'!$O$43),"")</f>
        <v/>
      </c>
      <c r="N21" s="67" t="str">
        <f>IF(AND('Mapa final'!$Y$44="Alta",'Mapa final'!$AA$44="Leve"),CONCATENATE("R6C",'Mapa final'!$O$44),"")</f>
        <v/>
      </c>
      <c r="O21" s="68" t="str">
        <f>IF(AND('Mapa final'!$Y$45="Alta",'Mapa final'!$AA$45="Leve"),CONCATENATE("R6C",'Mapa final'!$O$45),"")</f>
        <v/>
      </c>
      <c r="P21" s="66" t="str">
        <f>IF(AND('Mapa final'!$Y$40="Alta",'Mapa final'!$AA$40="Menor"),CONCATENATE("R6C",'Mapa final'!$O$40),"")</f>
        <v/>
      </c>
      <c r="Q21" s="67" t="str">
        <f>IF(AND('Mapa final'!$Y$41="Alta",'Mapa final'!$AA$41="Menor"),CONCATENATE("R6C",'Mapa final'!$O$41),"")</f>
        <v/>
      </c>
      <c r="R21" s="67" t="str">
        <f>IF(AND('Mapa final'!$Y$42="Alta",'Mapa final'!$AA$42="Menor"),CONCATENATE("R6C",'Mapa final'!$O$42),"")</f>
        <v/>
      </c>
      <c r="S21" s="67" t="str">
        <f>IF(AND('Mapa final'!$Y$43="Alta",'Mapa final'!$AA$43="Menor"),CONCATENATE("R6C",'Mapa final'!$O$43),"")</f>
        <v/>
      </c>
      <c r="T21" s="67" t="str">
        <f>IF(AND('Mapa final'!$Y$44="Alta",'Mapa final'!$AA$44="Menor"),CONCATENATE("R6C",'Mapa final'!$O$44),"")</f>
        <v/>
      </c>
      <c r="U21" s="68" t="str">
        <f>IF(AND('Mapa final'!$Y$45="Alta",'Mapa final'!$AA$45="Menor"),CONCATENATE("R6C",'Mapa final'!$O$45),"")</f>
        <v/>
      </c>
      <c r="V21" s="51" t="str">
        <f>IF(AND('Mapa final'!$Y$40="Alta",'Mapa final'!$AA$40="Moderado"),CONCATENATE("R6C",'Mapa final'!$O$40),"")</f>
        <v/>
      </c>
      <c r="W21" s="52" t="str">
        <f>IF(AND('Mapa final'!$Y$41="Alta",'Mapa final'!$AA$41="Moderado"),CONCATENATE("R6C",'Mapa final'!$O$41),"")</f>
        <v/>
      </c>
      <c r="X21" s="52" t="str">
        <f>IF(AND('Mapa final'!$Y$42="Alta",'Mapa final'!$AA$42="Moderado"),CONCATENATE("R6C",'Mapa final'!$O$42),"")</f>
        <v/>
      </c>
      <c r="Y21" s="52" t="str">
        <f>IF(AND('Mapa final'!$Y$43="Alta",'Mapa final'!$AA$43="Moderado"),CONCATENATE("R6C",'Mapa final'!$O$43),"")</f>
        <v/>
      </c>
      <c r="Z21" s="52" t="str">
        <f>IF(AND('Mapa final'!$Y$44="Alta",'Mapa final'!$AA$44="Moderado"),CONCATENATE("R6C",'Mapa final'!$O$44),"")</f>
        <v/>
      </c>
      <c r="AA21" s="53" t="str">
        <f>IF(AND('Mapa final'!$Y$45="Alta",'Mapa final'!$AA$45="Moderado"),CONCATENATE("R6C",'Mapa final'!$O$45),"")</f>
        <v/>
      </c>
      <c r="AB21" s="51" t="str">
        <f>IF(AND('Mapa final'!$Y$40="Alta",'Mapa final'!$AA$40="Mayor"),CONCATENATE("R6C",'Mapa final'!$O$40),"")</f>
        <v/>
      </c>
      <c r="AC21" s="52" t="str">
        <f>IF(AND('Mapa final'!$Y$41="Alta",'Mapa final'!$AA$41="Mayor"),CONCATENATE("R6C",'Mapa final'!$O$41),"")</f>
        <v/>
      </c>
      <c r="AD21" s="52" t="str">
        <f>IF(AND('Mapa final'!$Y$42="Alta",'Mapa final'!$AA$42="Mayor"),CONCATENATE("R6C",'Mapa final'!$O$42),"")</f>
        <v/>
      </c>
      <c r="AE21" s="52" t="str">
        <f>IF(AND('Mapa final'!$Y$43="Alta",'Mapa final'!$AA$43="Mayor"),CONCATENATE("R6C",'Mapa final'!$O$43),"")</f>
        <v/>
      </c>
      <c r="AF21" s="52" t="str">
        <f>IF(AND('Mapa final'!$Y$44="Alta",'Mapa final'!$AA$44="Mayor"),CONCATENATE("R6C",'Mapa final'!$O$44),"")</f>
        <v/>
      </c>
      <c r="AG21" s="53" t="str">
        <f>IF(AND('Mapa final'!$Y$45="Alta",'Mapa final'!$AA$45="Mayor"),CONCATENATE("R6C",'Mapa final'!$O$45),"")</f>
        <v/>
      </c>
      <c r="AH21" s="54" t="str">
        <f>IF(AND('Mapa final'!$Y$40="Alta",'Mapa final'!$AA$40="Catastrófico"),CONCATENATE("R6C",'Mapa final'!$O$40),"")</f>
        <v/>
      </c>
      <c r="AI21" s="55" t="str">
        <f>IF(AND('Mapa final'!$Y$41="Alta",'Mapa final'!$AA$41="Catastrófico"),CONCATENATE("R6C",'Mapa final'!$O$41),"")</f>
        <v/>
      </c>
      <c r="AJ21" s="55" t="str">
        <f>IF(AND('Mapa final'!$Y$42="Alta",'Mapa final'!$AA$42="Catastrófico"),CONCATENATE("R6C",'Mapa final'!$O$42),"")</f>
        <v/>
      </c>
      <c r="AK21" s="55" t="str">
        <f>IF(AND('Mapa final'!$Y$43="Alta",'Mapa final'!$AA$43="Catastrófico"),CONCATENATE("R6C",'Mapa final'!$O$43),"")</f>
        <v/>
      </c>
      <c r="AL21" s="55" t="str">
        <f>IF(AND('Mapa final'!$Y$44="Alta",'Mapa final'!$AA$44="Catastrófico"),CONCATENATE("R6C",'Mapa final'!$O$44),"")</f>
        <v/>
      </c>
      <c r="AM21" s="56" t="str">
        <f>IF(AND('Mapa final'!$Y$45="Alta",'Mapa final'!$AA$45="Catastrófico"),CONCATENATE("R6C",'Mapa final'!$O$45),"")</f>
        <v/>
      </c>
      <c r="AN21" s="82"/>
      <c r="AO21" s="339"/>
      <c r="AP21" s="340"/>
      <c r="AQ21" s="340"/>
      <c r="AR21" s="340"/>
      <c r="AS21" s="340"/>
      <c r="AT21" s="341"/>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c r="A22" s="82"/>
      <c r="B22" s="288"/>
      <c r="C22" s="288"/>
      <c r="D22" s="289"/>
      <c r="E22" s="329"/>
      <c r="F22" s="330"/>
      <c r="G22" s="330"/>
      <c r="H22" s="330"/>
      <c r="I22" s="330"/>
      <c r="J22" s="66" t="str">
        <f>IF(AND('Mapa final'!$Y$46="Alta",'Mapa final'!$AA$46="Leve"),CONCATENATE("R7C",'Mapa final'!$O$46),"")</f>
        <v/>
      </c>
      <c r="K22" s="67" t="str">
        <f>IF(AND('Mapa final'!$Y$47="Alta",'Mapa final'!$AA$47="Leve"),CONCATENATE("R7C",'Mapa final'!$O$47),"")</f>
        <v/>
      </c>
      <c r="L22" s="67" t="str">
        <f>IF(AND('Mapa final'!$Y$48="Alta",'Mapa final'!$AA$48="Leve"),CONCATENATE("R7C",'Mapa final'!$O$48),"")</f>
        <v/>
      </c>
      <c r="M22" s="67" t="str">
        <f>IF(AND('Mapa final'!$Y$49="Alta",'Mapa final'!$AA$49="Leve"),CONCATENATE("R7C",'Mapa final'!$O$49),"")</f>
        <v/>
      </c>
      <c r="N22" s="67" t="str">
        <f>IF(AND('Mapa final'!$Y$50="Alta",'Mapa final'!$AA$50="Leve"),CONCATENATE("R7C",'Mapa final'!$O$50),"")</f>
        <v/>
      </c>
      <c r="O22" s="68" t="str">
        <f>IF(AND('Mapa final'!$Y$51="Alta",'Mapa final'!$AA$51="Leve"),CONCATENATE("R7C",'Mapa final'!$O$51),"")</f>
        <v/>
      </c>
      <c r="P22" s="66" t="str">
        <f>IF(AND('Mapa final'!$Y$46="Alta",'Mapa final'!$AA$46="Menor"),CONCATENATE("R7C",'Mapa final'!$O$46),"")</f>
        <v/>
      </c>
      <c r="Q22" s="67" t="str">
        <f>IF(AND('Mapa final'!$Y$47="Alta",'Mapa final'!$AA$47="Menor"),CONCATENATE("R7C",'Mapa final'!$O$47),"")</f>
        <v/>
      </c>
      <c r="R22" s="67" t="str">
        <f>IF(AND('Mapa final'!$Y$48="Alta",'Mapa final'!$AA$48="Menor"),CONCATENATE("R7C",'Mapa final'!$O$48),"")</f>
        <v/>
      </c>
      <c r="S22" s="67" t="str">
        <f>IF(AND('Mapa final'!$Y$49="Alta",'Mapa final'!$AA$49="Menor"),CONCATENATE("R7C",'Mapa final'!$O$49),"")</f>
        <v/>
      </c>
      <c r="T22" s="67" t="str">
        <f>IF(AND('Mapa final'!$Y$50="Alta",'Mapa final'!$AA$50="Menor"),CONCATENATE("R7C",'Mapa final'!$O$50),"")</f>
        <v/>
      </c>
      <c r="U22" s="68" t="str">
        <f>IF(AND('Mapa final'!$Y$51="Alta",'Mapa final'!$AA$51="Menor"),CONCATENATE("R7C",'Mapa final'!$O$51),"")</f>
        <v/>
      </c>
      <c r="V22" s="51" t="str">
        <f>IF(AND('Mapa final'!$Y$46="Alta",'Mapa final'!$AA$46="Moderado"),CONCATENATE("R7C",'Mapa final'!$O$46),"")</f>
        <v/>
      </c>
      <c r="W22" s="52" t="str">
        <f>IF(AND('Mapa final'!$Y$47="Alta",'Mapa final'!$AA$47="Moderado"),CONCATENATE("R7C",'Mapa final'!$O$47),"")</f>
        <v/>
      </c>
      <c r="X22" s="52" t="str">
        <f>IF(AND('Mapa final'!$Y$48="Alta",'Mapa final'!$AA$48="Moderado"),CONCATENATE("R7C",'Mapa final'!$O$48),"")</f>
        <v/>
      </c>
      <c r="Y22" s="52" t="str">
        <f>IF(AND('Mapa final'!$Y$49="Alta",'Mapa final'!$AA$49="Moderado"),CONCATENATE("R7C",'Mapa final'!$O$49),"")</f>
        <v/>
      </c>
      <c r="Z22" s="52" t="str">
        <f>IF(AND('Mapa final'!$Y$50="Alta",'Mapa final'!$AA$50="Moderado"),CONCATENATE("R7C",'Mapa final'!$O$50),"")</f>
        <v/>
      </c>
      <c r="AA22" s="53" t="str">
        <f>IF(AND('Mapa final'!$Y$51="Alta",'Mapa final'!$AA$51="Moderado"),CONCATENATE("R7C",'Mapa final'!$O$51),"")</f>
        <v/>
      </c>
      <c r="AB22" s="51" t="str">
        <f>IF(AND('Mapa final'!$Y$46="Alta",'Mapa final'!$AA$46="Mayor"),CONCATENATE("R7C",'Mapa final'!$O$46),"")</f>
        <v/>
      </c>
      <c r="AC22" s="52" t="str">
        <f>IF(AND('Mapa final'!$Y$47="Alta",'Mapa final'!$AA$47="Mayor"),CONCATENATE("R7C",'Mapa final'!$O$47),"")</f>
        <v/>
      </c>
      <c r="AD22" s="52" t="str">
        <f>IF(AND('Mapa final'!$Y$48="Alta",'Mapa final'!$AA$48="Mayor"),CONCATENATE("R7C",'Mapa final'!$O$48),"")</f>
        <v/>
      </c>
      <c r="AE22" s="52" t="str">
        <f>IF(AND('Mapa final'!$Y$49="Alta",'Mapa final'!$AA$49="Mayor"),CONCATENATE("R7C",'Mapa final'!$O$49),"")</f>
        <v/>
      </c>
      <c r="AF22" s="52" t="str">
        <f>IF(AND('Mapa final'!$Y$50="Alta",'Mapa final'!$AA$50="Mayor"),CONCATENATE("R7C",'Mapa final'!$O$50),"")</f>
        <v/>
      </c>
      <c r="AG22" s="53" t="str">
        <f>IF(AND('Mapa final'!$Y$51="Alta",'Mapa final'!$AA$51="Mayor"),CONCATENATE("R7C",'Mapa final'!$O$51),"")</f>
        <v/>
      </c>
      <c r="AH22" s="54" t="str">
        <f>IF(AND('Mapa final'!$Y$46="Alta",'Mapa final'!$AA$46="Catastrófico"),CONCATENATE("R7C",'Mapa final'!$O$46),"")</f>
        <v/>
      </c>
      <c r="AI22" s="55" t="str">
        <f>IF(AND('Mapa final'!$Y$47="Alta",'Mapa final'!$AA$47="Catastrófico"),CONCATENATE("R7C",'Mapa final'!$O$47),"")</f>
        <v/>
      </c>
      <c r="AJ22" s="55" t="str">
        <f>IF(AND('Mapa final'!$Y$48="Alta",'Mapa final'!$AA$48="Catastrófico"),CONCATENATE("R7C",'Mapa final'!$O$48),"")</f>
        <v/>
      </c>
      <c r="AK22" s="55" t="str">
        <f>IF(AND('Mapa final'!$Y$49="Alta",'Mapa final'!$AA$49="Catastrófico"),CONCATENATE("R7C",'Mapa final'!$O$49),"")</f>
        <v/>
      </c>
      <c r="AL22" s="55" t="str">
        <f>IF(AND('Mapa final'!$Y$50="Alta",'Mapa final'!$AA$50="Catastrófico"),CONCATENATE("R7C",'Mapa final'!$O$50),"")</f>
        <v/>
      </c>
      <c r="AM22" s="56" t="str">
        <f>IF(AND('Mapa final'!$Y$51="Alta",'Mapa final'!$AA$51="Catastrófico"),CONCATENATE("R7C",'Mapa final'!$O$51),"")</f>
        <v/>
      </c>
      <c r="AN22" s="82"/>
      <c r="AO22" s="339"/>
      <c r="AP22" s="340"/>
      <c r="AQ22" s="340"/>
      <c r="AR22" s="340"/>
      <c r="AS22" s="340"/>
      <c r="AT22" s="341"/>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c r="A23" s="82"/>
      <c r="B23" s="288"/>
      <c r="C23" s="288"/>
      <c r="D23" s="289"/>
      <c r="E23" s="329"/>
      <c r="F23" s="330"/>
      <c r="G23" s="330"/>
      <c r="H23" s="330"/>
      <c r="I23" s="330"/>
      <c r="J23" s="66" t="str">
        <f>IF(AND('Mapa final'!$Y$52="Alta",'Mapa final'!$AA$52="Leve"),CONCATENATE("R8C",'Mapa final'!$O$52),"")</f>
        <v/>
      </c>
      <c r="K23" s="67" t="str">
        <f>IF(AND('Mapa final'!$Y$53="Alta",'Mapa final'!$AA$53="Leve"),CONCATENATE("R8C",'Mapa final'!$O$53),"")</f>
        <v/>
      </c>
      <c r="L23" s="67" t="str">
        <f>IF(AND('Mapa final'!$Y$54="Alta",'Mapa final'!$AA$54="Leve"),CONCATENATE("R8C",'Mapa final'!$O$54),"")</f>
        <v/>
      </c>
      <c r="M23" s="67" t="str">
        <f>IF(AND('Mapa final'!$Y$55="Alta",'Mapa final'!$AA$55="Leve"),CONCATENATE("R8C",'Mapa final'!$O$55),"")</f>
        <v/>
      </c>
      <c r="N23" s="67" t="str">
        <f>IF(AND('Mapa final'!$Y$56="Alta",'Mapa final'!$AA$56="Leve"),CONCATENATE("R8C",'Mapa final'!$O$56),"")</f>
        <v/>
      </c>
      <c r="O23" s="68" t="str">
        <f>IF(AND('Mapa final'!$Y$57="Alta",'Mapa final'!$AA$57="Leve"),CONCATENATE("R8C",'Mapa final'!$O$57),"")</f>
        <v/>
      </c>
      <c r="P23" s="66" t="str">
        <f>IF(AND('Mapa final'!$Y$52="Alta",'Mapa final'!$AA$52="Menor"),CONCATENATE("R8C",'Mapa final'!$O$52),"")</f>
        <v/>
      </c>
      <c r="Q23" s="67" t="str">
        <f>IF(AND('Mapa final'!$Y$53="Alta",'Mapa final'!$AA$53="Menor"),CONCATENATE("R8C",'Mapa final'!$O$53),"")</f>
        <v/>
      </c>
      <c r="R23" s="67" t="str">
        <f>IF(AND('Mapa final'!$Y$54="Alta",'Mapa final'!$AA$54="Menor"),CONCATENATE("R8C",'Mapa final'!$O$54),"")</f>
        <v/>
      </c>
      <c r="S23" s="67" t="str">
        <f>IF(AND('Mapa final'!$Y$55="Alta",'Mapa final'!$AA$55="Menor"),CONCATENATE("R8C",'Mapa final'!$O$55),"")</f>
        <v/>
      </c>
      <c r="T23" s="67" t="str">
        <f>IF(AND('Mapa final'!$Y$56="Alta",'Mapa final'!$AA$56="Menor"),CONCATENATE("R8C",'Mapa final'!$O$56),"")</f>
        <v/>
      </c>
      <c r="U23" s="68" t="str">
        <f>IF(AND('Mapa final'!$Y$57="Alta",'Mapa final'!$AA$57="Menor"),CONCATENATE("R8C",'Mapa final'!$O$57),"")</f>
        <v/>
      </c>
      <c r="V23" s="51" t="str">
        <f>IF(AND('Mapa final'!$Y$52="Alta",'Mapa final'!$AA$52="Moderado"),CONCATENATE("R8C",'Mapa final'!$O$52),"")</f>
        <v/>
      </c>
      <c r="W23" s="52" t="str">
        <f>IF(AND('Mapa final'!$Y$53="Alta",'Mapa final'!$AA$53="Moderado"),CONCATENATE("R8C",'Mapa final'!$O$53),"")</f>
        <v/>
      </c>
      <c r="X23" s="52" t="str">
        <f>IF(AND('Mapa final'!$Y$54="Alta",'Mapa final'!$AA$54="Moderado"),CONCATENATE("R8C",'Mapa final'!$O$54),"")</f>
        <v/>
      </c>
      <c r="Y23" s="52" t="str">
        <f>IF(AND('Mapa final'!$Y$55="Alta",'Mapa final'!$AA$55="Moderado"),CONCATENATE("R8C",'Mapa final'!$O$55),"")</f>
        <v/>
      </c>
      <c r="Z23" s="52" t="str">
        <f>IF(AND('Mapa final'!$Y$56="Alta",'Mapa final'!$AA$56="Moderado"),CONCATENATE("R8C",'Mapa final'!$O$56),"")</f>
        <v/>
      </c>
      <c r="AA23" s="53" t="str">
        <f>IF(AND('Mapa final'!$Y$57="Alta",'Mapa final'!$AA$57="Moderado"),CONCATENATE("R8C",'Mapa final'!$O$57),"")</f>
        <v/>
      </c>
      <c r="AB23" s="51" t="str">
        <f>IF(AND('Mapa final'!$Y$52="Alta",'Mapa final'!$AA$52="Mayor"),CONCATENATE("R8C",'Mapa final'!$O$52),"")</f>
        <v/>
      </c>
      <c r="AC23" s="52" t="str">
        <f>IF(AND('Mapa final'!$Y$53="Alta",'Mapa final'!$AA$53="Mayor"),CONCATENATE("R8C",'Mapa final'!$O$53),"")</f>
        <v/>
      </c>
      <c r="AD23" s="52" t="str">
        <f>IF(AND('Mapa final'!$Y$54="Alta",'Mapa final'!$AA$54="Mayor"),CONCATENATE("R8C",'Mapa final'!$O$54),"")</f>
        <v/>
      </c>
      <c r="AE23" s="52" t="str">
        <f>IF(AND('Mapa final'!$Y$55="Alta",'Mapa final'!$AA$55="Mayor"),CONCATENATE("R8C",'Mapa final'!$O$55),"")</f>
        <v/>
      </c>
      <c r="AF23" s="52" t="str">
        <f>IF(AND('Mapa final'!$Y$56="Alta",'Mapa final'!$AA$56="Mayor"),CONCATENATE("R8C",'Mapa final'!$O$56),"")</f>
        <v/>
      </c>
      <c r="AG23" s="53" t="str">
        <f>IF(AND('Mapa final'!$Y$57="Alta",'Mapa final'!$AA$57="Mayor"),CONCATENATE("R8C",'Mapa final'!$O$57),"")</f>
        <v/>
      </c>
      <c r="AH23" s="54" t="str">
        <f>IF(AND('Mapa final'!$Y$52="Alta",'Mapa final'!$AA$52="Catastrófico"),CONCATENATE("R8C",'Mapa final'!$O$52),"")</f>
        <v/>
      </c>
      <c r="AI23" s="55" t="str">
        <f>IF(AND('Mapa final'!$Y$53="Alta",'Mapa final'!$AA$53="Catastrófico"),CONCATENATE("R8C",'Mapa final'!$O$53),"")</f>
        <v/>
      </c>
      <c r="AJ23" s="55" t="str">
        <f>IF(AND('Mapa final'!$Y$54="Alta",'Mapa final'!$AA$54="Catastrófico"),CONCATENATE("R8C",'Mapa final'!$O$54),"")</f>
        <v/>
      </c>
      <c r="AK23" s="55" t="str">
        <f>IF(AND('Mapa final'!$Y$55="Alta",'Mapa final'!$AA$55="Catastrófico"),CONCATENATE("R8C",'Mapa final'!$O$55),"")</f>
        <v/>
      </c>
      <c r="AL23" s="55" t="str">
        <f>IF(AND('Mapa final'!$Y$56="Alta",'Mapa final'!$AA$56="Catastrófico"),CONCATENATE("R8C",'Mapa final'!$O$56),"")</f>
        <v/>
      </c>
      <c r="AM23" s="56" t="str">
        <f>IF(AND('Mapa final'!$Y$57="Alta",'Mapa final'!$AA$57="Catastrófico"),CONCATENATE("R8C",'Mapa final'!$O$57),"")</f>
        <v/>
      </c>
      <c r="AN23" s="82"/>
      <c r="AO23" s="339"/>
      <c r="AP23" s="340"/>
      <c r="AQ23" s="340"/>
      <c r="AR23" s="340"/>
      <c r="AS23" s="340"/>
      <c r="AT23" s="341"/>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c r="A24" s="82"/>
      <c r="B24" s="288"/>
      <c r="C24" s="288"/>
      <c r="D24" s="289"/>
      <c r="E24" s="329"/>
      <c r="F24" s="330"/>
      <c r="G24" s="330"/>
      <c r="H24" s="330"/>
      <c r="I24" s="330"/>
      <c r="J24" s="66" t="str">
        <f>IF(AND('Mapa final'!$Y$58="Alta",'Mapa final'!$AA$58="Leve"),CONCATENATE("R9C",'Mapa final'!$O$58),"")</f>
        <v/>
      </c>
      <c r="K24" s="67" t="str">
        <f>IF(AND('Mapa final'!$Y$59="Alta",'Mapa final'!$AA$59="Leve"),CONCATENATE("R9C",'Mapa final'!$O$59),"")</f>
        <v/>
      </c>
      <c r="L24" s="67" t="str">
        <f>IF(AND('Mapa final'!$Y$60="Alta",'Mapa final'!$AA$60="Leve"),CONCATENATE("R9C",'Mapa final'!$O$60),"")</f>
        <v/>
      </c>
      <c r="M24" s="67" t="str">
        <f>IF(AND('Mapa final'!$Y$61="Alta",'Mapa final'!$AA$61="Leve"),CONCATENATE("R9C",'Mapa final'!$O$61),"")</f>
        <v/>
      </c>
      <c r="N24" s="67" t="str">
        <f>IF(AND('Mapa final'!$Y$62="Alta",'Mapa final'!$AA$62="Leve"),CONCATENATE("R9C",'Mapa final'!$O$62),"")</f>
        <v/>
      </c>
      <c r="O24" s="68" t="str">
        <f>IF(AND('Mapa final'!$Y$63="Alta",'Mapa final'!$AA$63="Leve"),CONCATENATE("R9C",'Mapa final'!$O$63),"")</f>
        <v/>
      </c>
      <c r="P24" s="66" t="str">
        <f>IF(AND('Mapa final'!$Y$58="Alta",'Mapa final'!$AA$58="Menor"),CONCATENATE("R9C",'Mapa final'!$O$58),"")</f>
        <v/>
      </c>
      <c r="Q24" s="67" t="str">
        <f>IF(AND('Mapa final'!$Y$59="Alta",'Mapa final'!$AA$59="Menor"),CONCATENATE("R9C",'Mapa final'!$O$59),"")</f>
        <v/>
      </c>
      <c r="R24" s="67" t="str">
        <f>IF(AND('Mapa final'!$Y$60="Alta",'Mapa final'!$AA$60="Menor"),CONCATENATE("R9C",'Mapa final'!$O$60),"")</f>
        <v/>
      </c>
      <c r="S24" s="67" t="str">
        <f>IF(AND('Mapa final'!$Y$61="Alta",'Mapa final'!$AA$61="Menor"),CONCATENATE("R9C",'Mapa final'!$O$61),"")</f>
        <v/>
      </c>
      <c r="T24" s="67" t="str">
        <f>IF(AND('Mapa final'!$Y$62="Alta",'Mapa final'!$AA$62="Menor"),CONCATENATE("R9C",'Mapa final'!$O$62),"")</f>
        <v/>
      </c>
      <c r="U24" s="68" t="str">
        <f>IF(AND('Mapa final'!$Y$63="Alta",'Mapa final'!$AA$63="Menor"),CONCATENATE("R9C",'Mapa final'!$O$63),"")</f>
        <v/>
      </c>
      <c r="V24" s="51" t="str">
        <f>IF(AND('Mapa final'!$Y$58="Alta",'Mapa final'!$AA$58="Moderado"),CONCATENATE("R9C",'Mapa final'!$O$58),"")</f>
        <v/>
      </c>
      <c r="W24" s="52" t="str">
        <f>IF(AND('Mapa final'!$Y$59="Alta",'Mapa final'!$AA$59="Moderado"),CONCATENATE("R9C",'Mapa final'!$O$59),"")</f>
        <v/>
      </c>
      <c r="X24" s="52" t="str">
        <f>IF(AND('Mapa final'!$Y$60="Alta",'Mapa final'!$AA$60="Moderado"),CONCATENATE("R9C",'Mapa final'!$O$60),"")</f>
        <v/>
      </c>
      <c r="Y24" s="52" t="str">
        <f>IF(AND('Mapa final'!$Y$61="Alta",'Mapa final'!$AA$61="Moderado"),CONCATENATE("R9C",'Mapa final'!$O$61),"")</f>
        <v/>
      </c>
      <c r="Z24" s="52" t="str">
        <f>IF(AND('Mapa final'!$Y$62="Alta",'Mapa final'!$AA$62="Moderado"),CONCATENATE("R9C",'Mapa final'!$O$62),"")</f>
        <v/>
      </c>
      <c r="AA24" s="53" t="str">
        <f>IF(AND('Mapa final'!$Y$63="Alta",'Mapa final'!$AA$63="Moderado"),CONCATENATE("R9C",'Mapa final'!$O$63),"")</f>
        <v/>
      </c>
      <c r="AB24" s="51" t="str">
        <f>IF(AND('Mapa final'!$Y$58="Alta",'Mapa final'!$AA$58="Mayor"),CONCATENATE("R9C",'Mapa final'!$O$58),"")</f>
        <v/>
      </c>
      <c r="AC24" s="52" t="str">
        <f>IF(AND('Mapa final'!$Y$59="Alta",'Mapa final'!$AA$59="Mayor"),CONCATENATE("R9C",'Mapa final'!$O$59),"")</f>
        <v/>
      </c>
      <c r="AD24" s="52" t="str">
        <f>IF(AND('Mapa final'!$Y$60="Alta",'Mapa final'!$AA$60="Mayor"),CONCATENATE("R9C",'Mapa final'!$O$60),"")</f>
        <v/>
      </c>
      <c r="AE24" s="52" t="str">
        <f>IF(AND('Mapa final'!$Y$61="Alta",'Mapa final'!$AA$61="Mayor"),CONCATENATE("R9C",'Mapa final'!$O$61),"")</f>
        <v/>
      </c>
      <c r="AF24" s="52" t="str">
        <f>IF(AND('Mapa final'!$Y$62="Alta",'Mapa final'!$AA$62="Mayor"),CONCATENATE("R9C",'Mapa final'!$O$62),"")</f>
        <v/>
      </c>
      <c r="AG24" s="53" t="str">
        <f>IF(AND('Mapa final'!$Y$63="Alta",'Mapa final'!$AA$63="Mayor"),CONCATENATE("R9C",'Mapa final'!$O$63),"")</f>
        <v/>
      </c>
      <c r="AH24" s="54" t="str">
        <f>IF(AND('Mapa final'!$Y$58="Alta",'Mapa final'!$AA$58="Catastrófico"),CONCATENATE("R9C",'Mapa final'!$O$58),"")</f>
        <v/>
      </c>
      <c r="AI24" s="55" t="str">
        <f>IF(AND('Mapa final'!$Y$59="Alta",'Mapa final'!$AA$59="Catastrófico"),CONCATENATE("R9C",'Mapa final'!$O$59),"")</f>
        <v/>
      </c>
      <c r="AJ24" s="55" t="str">
        <f>IF(AND('Mapa final'!$Y$60="Alta",'Mapa final'!$AA$60="Catastrófico"),CONCATENATE("R9C",'Mapa final'!$O$60),"")</f>
        <v/>
      </c>
      <c r="AK24" s="55" t="str">
        <f>IF(AND('Mapa final'!$Y$61="Alta",'Mapa final'!$AA$61="Catastrófico"),CONCATENATE("R9C",'Mapa final'!$O$61),"")</f>
        <v/>
      </c>
      <c r="AL24" s="55" t="str">
        <f>IF(AND('Mapa final'!$Y$62="Alta",'Mapa final'!$AA$62="Catastrófico"),CONCATENATE("R9C",'Mapa final'!$O$62),"")</f>
        <v/>
      </c>
      <c r="AM24" s="56" t="str">
        <f>IF(AND('Mapa final'!$Y$63="Alta",'Mapa final'!$AA$63="Catastrófico"),CONCATENATE("R9C",'Mapa final'!$O$63),"")</f>
        <v/>
      </c>
      <c r="AN24" s="82"/>
      <c r="AO24" s="339"/>
      <c r="AP24" s="340"/>
      <c r="AQ24" s="340"/>
      <c r="AR24" s="340"/>
      <c r="AS24" s="340"/>
      <c r="AT24" s="341"/>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c r="A25" s="82"/>
      <c r="B25" s="288"/>
      <c r="C25" s="288"/>
      <c r="D25" s="289"/>
      <c r="E25" s="332"/>
      <c r="F25" s="333"/>
      <c r="G25" s="333"/>
      <c r="H25" s="333"/>
      <c r="I25" s="333"/>
      <c r="J25" s="69" t="str">
        <f>IF(AND('Mapa final'!$Y$64="Alta",'Mapa final'!$AA$64="Leve"),CONCATENATE("R10C",'Mapa final'!$O$64),"")</f>
        <v/>
      </c>
      <c r="K25" s="70" t="str">
        <f>IF(AND('Mapa final'!$Y$65="Alta",'Mapa final'!$AA$65="Leve"),CONCATENATE("R10C",'Mapa final'!$O$65),"")</f>
        <v/>
      </c>
      <c r="L25" s="70" t="str">
        <f>IF(AND('Mapa final'!$Y$66="Alta",'Mapa final'!$AA$66="Leve"),CONCATENATE("R10C",'Mapa final'!$O$66),"")</f>
        <v/>
      </c>
      <c r="M25" s="70" t="str">
        <f>IF(AND('Mapa final'!$Y$67="Alta",'Mapa final'!$AA$67="Leve"),CONCATENATE("R10C",'Mapa final'!$O$67),"")</f>
        <v/>
      </c>
      <c r="N25" s="70" t="str">
        <f>IF(AND('Mapa final'!$Y$68="Alta",'Mapa final'!$AA$68="Leve"),CONCATENATE("R10C",'Mapa final'!$O$68),"")</f>
        <v/>
      </c>
      <c r="O25" s="71" t="str">
        <f>IF(AND('Mapa final'!$Y$69="Alta",'Mapa final'!$AA$69="Leve"),CONCATENATE("R10C",'Mapa final'!$O$69),"")</f>
        <v/>
      </c>
      <c r="P25" s="69" t="str">
        <f>IF(AND('Mapa final'!$Y$64="Alta",'Mapa final'!$AA$64="Menor"),CONCATENATE("R10C",'Mapa final'!$O$64),"")</f>
        <v/>
      </c>
      <c r="Q25" s="70" t="str">
        <f>IF(AND('Mapa final'!$Y$65="Alta",'Mapa final'!$AA$65="Menor"),CONCATENATE("R10C",'Mapa final'!$O$65),"")</f>
        <v/>
      </c>
      <c r="R25" s="70" t="str">
        <f>IF(AND('Mapa final'!$Y$66="Alta",'Mapa final'!$AA$66="Menor"),CONCATENATE("R10C",'Mapa final'!$O$66),"")</f>
        <v/>
      </c>
      <c r="S25" s="70" t="str">
        <f>IF(AND('Mapa final'!$Y$67="Alta",'Mapa final'!$AA$67="Menor"),CONCATENATE("R10C",'Mapa final'!$O$67),"")</f>
        <v/>
      </c>
      <c r="T25" s="70" t="str">
        <f>IF(AND('Mapa final'!$Y$68="Alta",'Mapa final'!$AA$68="Menor"),CONCATENATE("R10C",'Mapa final'!$O$68),"")</f>
        <v/>
      </c>
      <c r="U25" s="71" t="str">
        <f>IF(AND('Mapa final'!$Y$69="Alta",'Mapa final'!$AA$69="Menor"),CONCATENATE("R10C",'Mapa final'!$O$69),"")</f>
        <v/>
      </c>
      <c r="V25" s="57" t="str">
        <f>IF(AND('Mapa final'!$Y$64="Alta",'Mapa final'!$AA$64="Moderado"),CONCATENATE("R10C",'Mapa final'!$O$64),"")</f>
        <v/>
      </c>
      <c r="W25" s="58" t="str">
        <f>IF(AND('Mapa final'!$Y$65="Alta",'Mapa final'!$AA$65="Moderado"),CONCATENATE("R10C",'Mapa final'!$O$65),"")</f>
        <v/>
      </c>
      <c r="X25" s="58" t="str">
        <f>IF(AND('Mapa final'!$Y$66="Alta",'Mapa final'!$AA$66="Moderado"),CONCATENATE("R10C",'Mapa final'!$O$66),"")</f>
        <v/>
      </c>
      <c r="Y25" s="58" t="str">
        <f>IF(AND('Mapa final'!$Y$67="Alta",'Mapa final'!$AA$67="Moderado"),CONCATENATE("R10C",'Mapa final'!$O$67),"")</f>
        <v/>
      </c>
      <c r="Z25" s="58" t="str">
        <f>IF(AND('Mapa final'!$Y$68="Alta",'Mapa final'!$AA$68="Moderado"),CONCATENATE("R10C",'Mapa final'!$O$68),"")</f>
        <v/>
      </c>
      <c r="AA25" s="59" t="str">
        <f>IF(AND('Mapa final'!$Y$69="Alta",'Mapa final'!$AA$69="Moderado"),CONCATENATE("R10C",'Mapa final'!$O$69),"")</f>
        <v/>
      </c>
      <c r="AB25" s="57" t="str">
        <f>IF(AND('Mapa final'!$Y$64="Alta",'Mapa final'!$AA$64="Mayor"),CONCATENATE("R10C",'Mapa final'!$O$64),"")</f>
        <v/>
      </c>
      <c r="AC25" s="58" t="str">
        <f>IF(AND('Mapa final'!$Y$65="Alta",'Mapa final'!$AA$65="Mayor"),CONCATENATE("R10C",'Mapa final'!$O$65),"")</f>
        <v/>
      </c>
      <c r="AD25" s="58" t="str">
        <f>IF(AND('Mapa final'!$Y$66="Alta",'Mapa final'!$AA$66="Mayor"),CONCATENATE("R10C",'Mapa final'!$O$66),"")</f>
        <v/>
      </c>
      <c r="AE25" s="58" t="str">
        <f>IF(AND('Mapa final'!$Y$67="Alta",'Mapa final'!$AA$67="Mayor"),CONCATENATE("R10C",'Mapa final'!$O$67),"")</f>
        <v/>
      </c>
      <c r="AF25" s="58" t="str">
        <f>IF(AND('Mapa final'!$Y$68="Alta",'Mapa final'!$AA$68="Mayor"),CONCATENATE("R10C",'Mapa final'!$O$68),"")</f>
        <v/>
      </c>
      <c r="AG25" s="59" t="str">
        <f>IF(AND('Mapa final'!$Y$69="Alta",'Mapa final'!$AA$69="Mayor"),CONCATENATE("R10C",'Mapa final'!$O$69),"")</f>
        <v/>
      </c>
      <c r="AH25" s="60" t="str">
        <f>IF(AND('Mapa final'!$Y$64="Alta",'Mapa final'!$AA$64="Catastrófico"),CONCATENATE("R10C",'Mapa final'!$O$64),"")</f>
        <v/>
      </c>
      <c r="AI25" s="61" t="str">
        <f>IF(AND('Mapa final'!$Y$65="Alta",'Mapa final'!$AA$65="Catastrófico"),CONCATENATE("R10C",'Mapa final'!$O$65),"")</f>
        <v/>
      </c>
      <c r="AJ25" s="61" t="str">
        <f>IF(AND('Mapa final'!$Y$66="Alta",'Mapa final'!$AA$66="Catastrófico"),CONCATENATE("R10C",'Mapa final'!$O$66),"")</f>
        <v/>
      </c>
      <c r="AK25" s="61" t="str">
        <f>IF(AND('Mapa final'!$Y$67="Alta",'Mapa final'!$AA$67="Catastrófico"),CONCATENATE("R10C",'Mapa final'!$O$67),"")</f>
        <v/>
      </c>
      <c r="AL25" s="61" t="str">
        <f>IF(AND('Mapa final'!$Y$68="Alta",'Mapa final'!$AA$68="Catastrófico"),CONCATENATE("R10C",'Mapa final'!$O$68),"")</f>
        <v/>
      </c>
      <c r="AM25" s="62" t="str">
        <f>IF(AND('Mapa final'!$Y$69="Alta",'Mapa final'!$AA$69="Catastrófico"),CONCATENATE("R10C",'Mapa final'!$O$69),"")</f>
        <v/>
      </c>
      <c r="AN25" s="82"/>
      <c r="AO25" s="342"/>
      <c r="AP25" s="343"/>
      <c r="AQ25" s="343"/>
      <c r="AR25" s="343"/>
      <c r="AS25" s="343"/>
      <c r="AT25" s="344"/>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c r="A26" s="82"/>
      <c r="B26" s="288"/>
      <c r="C26" s="288"/>
      <c r="D26" s="289"/>
      <c r="E26" s="326" t="s">
        <v>171</v>
      </c>
      <c r="F26" s="327"/>
      <c r="G26" s="327"/>
      <c r="H26" s="327"/>
      <c r="I26" s="328"/>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R1C1</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366" t="s">
        <v>172</v>
      </c>
      <c r="AP26" s="367"/>
      <c r="AQ26" s="367"/>
      <c r="AR26" s="367"/>
      <c r="AS26" s="367"/>
      <c r="AT26" s="368"/>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c r="A27" s="82"/>
      <c r="B27" s="288"/>
      <c r="C27" s="288"/>
      <c r="D27" s="289"/>
      <c r="E27" s="345"/>
      <c r="F27" s="330"/>
      <c r="G27" s="330"/>
      <c r="H27" s="330"/>
      <c r="I27" s="331"/>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R2C1</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369"/>
      <c r="AP27" s="370"/>
      <c r="AQ27" s="370"/>
      <c r="AR27" s="370"/>
      <c r="AS27" s="370"/>
      <c r="AT27" s="371"/>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c r="A28" s="82"/>
      <c r="B28" s="288"/>
      <c r="C28" s="288"/>
      <c r="D28" s="289"/>
      <c r="E28" s="329"/>
      <c r="F28" s="330"/>
      <c r="G28" s="330"/>
      <c r="H28" s="330"/>
      <c r="I28" s="331"/>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R3C1</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369"/>
      <c r="AP28" s="370"/>
      <c r="AQ28" s="370"/>
      <c r="AR28" s="370"/>
      <c r="AS28" s="370"/>
      <c r="AT28" s="371"/>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c r="A29" s="82"/>
      <c r="B29" s="288"/>
      <c r="C29" s="288"/>
      <c r="D29" s="289"/>
      <c r="E29" s="329"/>
      <c r="F29" s="330"/>
      <c r="G29" s="330"/>
      <c r="H29" s="330"/>
      <c r="I29" s="331"/>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R4C1</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369"/>
      <c r="AP29" s="370"/>
      <c r="AQ29" s="370"/>
      <c r="AR29" s="370"/>
      <c r="AS29" s="370"/>
      <c r="AT29" s="371"/>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c r="A30" s="82"/>
      <c r="B30" s="288"/>
      <c r="C30" s="288"/>
      <c r="D30" s="289"/>
      <c r="E30" s="329"/>
      <c r="F30" s="330"/>
      <c r="G30" s="330"/>
      <c r="H30" s="330"/>
      <c r="I30" s="331"/>
      <c r="J30" s="66" t="str">
        <f>IF(AND('Mapa final'!$Y$34="Media",'Mapa final'!$AA$34="Leve"),CONCATENATE("R5C",'Mapa final'!$O$34),"")</f>
        <v/>
      </c>
      <c r="K30" s="67" t="str">
        <f>IF(AND('Mapa final'!$Y$35="Media",'Mapa final'!$AA$35="Leve"),CONCATENATE("R5C",'Mapa final'!$O$35),"")</f>
        <v/>
      </c>
      <c r="L30" s="67" t="str">
        <f>IF(AND('Mapa final'!$Y$36="Media",'Mapa final'!$AA$36="Leve"),CONCATENATE("R5C",'Mapa final'!$O$36),"")</f>
        <v/>
      </c>
      <c r="M30" s="67" t="str">
        <f>IF(AND('Mapa final'!$Y$37="Media",'Mapa final'!$AA$37="Leve"),CONCATENATE("R5C",'Mapa final'!$O$37),"")</f>
        <v/>
      </c>
      <c r="N30" s="67" t="str">
        <f>IF(AND('Mapa final'!$Y$38="Media",'Mapa final'!$AA$38="Leve"),CONCATENATE("R5C",'Mapa final'!$O$38),"")</f>
        <v/>
      </c>
      <c r="O30" s="68" t="str">
        <f>IF(AND('Mapa final'!$Y$39="Media",'Mapa final'!$AA$39="Leve"),CONCATENATE("R5C",'Mapa final'!$O$39),"")</f>
        <v/>
      </c>
      <c r="P30" s="66" t="str">
        <f>IF(AND('Mapa final'!$Y$34="Media",'Mapa final'!$AA$34="Menor"),CONCATENATE("R5C",'Mapa final'!$O$34),"")</f>
        <v/>
      </c>
      <c r="Q30" s="67" t="str">
        <f>IF(AND('Mapa final'!$Y$35="Media",'Mapa final'!$AA$35="Menor"),CONCATENATE("R5C",'Mapa final'!$O$35),"")</f>
        <v/>
      </c>
      <c r="R30" s="67" t="str">
        <f>IF(AND('Mapa final'!$Y$36="Media",'Mapa final'!$AA$36="Menor"),CONCATENATE("R5C",'Mapa final'!$O$36),"")</f>
        <v/>
      </c>
      <c r="S30" s="67" t="str">
        <f>IF(AND('Mapa final'!$Y$37="Media",'Mapa final'!$AA$37="Menor"),CONCATENATE("R5C",'Mapa final'!$O$37),"")</f>
        <v/>
      </c>
      <c r="T30" s="67" t="str">
        <f>IF(AND('Mapa final'!$Y$38="Media",'Mapa final'!$AA$38="Menor"),CONCATENATE("R5C",'Mapa final'!$O$38),"")</f>
        <v/>
      </c>
      <c r="U30" s="68" t="str">
        <f>IF(AND('Mapa final'!$Y$39="Media",'Mapa final'!$AA$39="Menor"),CONCATENATE("R5C",'Mapa final'!$O$39),"")</f>
        <v/>
      </c>
      <c r="V30" s="66" t="str">
        <f>IF(AND('Mapa final'!$Y$34="Media",'Mapa final'!$AA$34="Moderado"),CONCATENATE("R5C",'Mapa final'!$O$34),"")</f>
        <v/>
      </c>
      <c r="W30" s="67" t="str">
        <f>IF(AND('Mapa final'!$Y$35="Media",'Mapa final'!$AA$35="Moderado"),CONCATENATE("R5C",'Mapa final'!$O$35),"")</f>
        <v/>
      </c>
      <c r="X30" s="67" t="str">
        <f>IF(AND('Mapa final'!$Y$36="Media",'Mapa final'!$AA$36="Moderado"),CONCATENATE("R5C",'Mapa final'!$O$36),"")</f>
        <v/>
      </c>
      <c r="Y30" s="67" t="str">
        <f>IF(AND('Mapa final'!$Y$37="Media",'Mapa final'!$AA$37="Moderado"),CONCATENATE("R5C",'Mapa final'!$O$37),"")</f>
        <v/>
      </c>
      <c r="Z30" s="67" t="str">
        <f>IF(AND('Mapa final'!$Y$38="Media",'Mapa final'!$AA$38="Moderado"),CONCATENATE("R5C",'Mapa final'!$O$38),"")</f>
        <v/>
      </c>
      <c r="AA30" s="68" t="str">
        <f>IF(AND('Mapa final'!$Y$39="Media",'Mapa final'!$AA$39="Moderado"),CONCATENATE("R5C",'Mapa final'!$O$39),"")</f>
        <v/>
      </c>
      <c r="AB30" s="51" t="str">
        <f>IF(AND('Mapa final'!$Y$34="Media",'Mapa final'!$AA$34="Mayor"),CONCATENATE("R5C",'Mapa final'!$O$34),"")</f>
        <v/>
      </c>
      <c r="AC30" s="52" t="str">
        <f>IF(AND('Mapa final'!$Y$35="Media",'Mapa final'!$AA$35="Mayor"),CONCATENATE("R5C",'Mapa final'!$O$35),"")</f>
        <v/>
      </c>
      <c r="AD30" s="52" t="str">
        <f>IF(AND('Mapa final'!$Y$36="Media",'Mapa final'!$AA$36="Mayor"),CONCATENATE("R5C",'Mapa final'!$O$36),"")</f>
        <v/>
      </c>
      <c r="AE30" s="52" t="str">
        <f>IF(AND('Mapa final'!$Y$37="Media",'Mapa final'!$AA$37="Mayor"),CONCATENATE("R5C",'Mapa final'!$O$37),"")</f>
        <v/>
      </c>
      <c r="AF30" s="52" t="str">
        <f>IF(AND('Mapa final'!$Y$38="Media",'Mapa final'!$AA$38="Mayor"),CONCATENATE("R5C",'Mapa final'!$O$38),"")</f>
        <v/>
      </c>
      <c r="AG30" s="53" t="str">
        <f>IF(AND('Mapa final'!$Y$39="Media",'Mapa final'!$AA$39="Mayor"),CONCATENATE("R5C",'Mapa final'!$O$39),"")</f>
        <v/>
      </c>
      <c r="AH30" s="54" t="str">
        <f>IF(AND('Mapa final'!$Y$34="Media",'Mapa final'!$AA$34="Catastrófico"),CONCATENATE("R5C",'Mapa final'!$O$34),"")</f>
        <v/>
      </c>
      <c r="AI30" s="55" t="str">
        <f>IF(AND('Mapa final'!$Y$35="Media",'Mapa final'!$AA$35="Catastrófico"),CONCATENATE("R5C",'Mapa final'!$O$35),"")</f>
        <v/>
      </c>
      <c r="AJ30" s="55" t="str">
        <f>IF(AND('Mapa final'!$Y$36="Media",'Mapa final'!$AA$36="Catastrófico"),CONCATENATE("R5C",'Mapa final'!$O$36),"")</f>
        <v/>
      </c>
      <c r="AK30" s="55" t="str">
        <f>IF(AND('Mapa final'!$Y$37="Media",'Mapa final'!$AA$37="Catastrófico"),CONCATENATE("R5C",'Mapa final'!$O$37),"")</f>
        <v/>
      </c>
      <c r="AL30" s="55" t="str">
        <f>IF(AND('Mapa final'!$Y$38="Media",'Mapa final'!$AA$38="Catastrófico"),CONCATENATE("R5C",'Mapa final'!$O$38),"")</f>
        <v/>
      </c>
      <c r="AM30" s="56" t="str">
        <f>IF(AND('Mapa final'!$Y$39="Media",'Mapa final'!$AA$39="Catastrófico"),CONCATENATE("R5C",'Mapa final'!$O$39),"")</f>
        <v/>
      </c>
      <c r="AN30" s="82"/>
      <c r="AO30" s="369"/>
      <c r="AP30" s="370"/>
      <c r="AQ30" s="370"/>
      <c r="AR30" s="370"/>
      <c r="AS30" s="370"/>
      <c r="AT30" s="371"/>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c r="A31" s="82"/>
      <c r="B31" s="288"/>
      <c r="C31" s="288"/>
      <c r="D31" s="289"/>
      <c r="E31" s="329"/>
      <c r="F31" s="330"/>
      <c r="G31" s="330"/>
      <c r="H31" s="330"/>
      <c r="I31" s="331"/>
      <c r="J31" s="66" t="str">
        <f>IF(AND('Mapa final'!$Y$40="Media",'Mapa final'!$AA$40="Leve"),CONCATENATE("R6C",'Mapa final'!$O$40),"")</f>
        <v/>
      </c>
      <c r="K31" s="67" t="str">
        <f>IF(AND('Mapa final'!$Y$41="Media",'Mapa final'!$AA$41="Leve"),CONCATENATE("R6C",'Mapa final'!$O$41),"")</f>
        <v/>
      </c>
      <c r="L31" s="67" t="str">
        <f>IF(AND('Mapa final'!$Y$42="Media",'Mapa final'!$AA$42="Leve"),CONCATENATE("R6C",'Mapa final'!$O$42),"")</f>
        <v/>
      </c>
      <c r="M31" s="67" t="str">
        <f>IF(AND('Mapa final'!$Y$43="Media",'Mapa final'!$AA$43="Leve"),CONCATENATE("R6C",'Mapa final'!$O$43),"")</f>
        <v/>
      </c>
      <c r="N31" s="67" t="str">
        <f>IF(AND('Mapa final'!$Y$44="Media",'Mapa final'!$AA$44="Leve"),CONCATENATE("R6C",'Mapa final'!$O$44),"")</f>
        <v/>
      </c>
      <c r="O31" s="68" t="str">
        <f>IF(AND('Mapa final'!$Y$45="Media",'Mapa final'!$AA$45="Leve"),CONCATENATE("R6C",'Mapa final'!$O$45),"")</f>
        <v/>
      </c>
      <c r="P31" s="66" t="str">
        <f>IF(AND('Mapa final'!$Y$40="Media",'Mapa final'!$AA$40="Menor"),CONCATENATE("R6C",'Mapa final'!$O$40),"")</f>
        <v/>
      </c>
      <c r="Q31" s="67" t="str">
        <f>IF(AND('Mapa final'!$Y$41="Media",'Mapa final'!$AA$41="Menor"),CONCATENATE("R6C",'Mapa final'!$O$41),"")</f>
        <v/>
      </c>
      <c r="R31" s="67" t="str">
        <f>IF(AND('Mapa final'!$Y$42="Media",'Mapa final'!$AA$42="Menor"),CONCATENATE("R6C",'Mapa final'!$O$42),"")</f>
        <v/>
      </c>
      <c r="S31" s="67" t="str">
        <f>IF(AND('Mapa final'!$Y$43="Media",'Mapa final'!$AA$43="Menor"),CONCATENATE("R6C",'Mapa final'!$O$43),"")</f>
        <v/>
      </c>
      <c r="T31" s="67" t="str">
        <f>IF(AND('Mapa final'!$Y$44="Media",'Mapa final'!$AA$44="Menor"),CONCATENATE("R6C",'Mapa final'!$O$44),"")</f>
        <v/>
      </c>
      <c r="U31" s="68" t="str">
        <f>IF(AND('Mapa final'!$Y$45="Media",'Mapa final'!$AA$45="Menor"),CONCATENATE("R6C",'Mapa final'!$O$45),"")</f>
        <v/>
      </c>
      <c r="V31" s="66" t="str">
        <f>IF(AND('Mapa final'!$Y$40="Media",'Mapa final'!$AA$40="Moderado"),CONCATENATE("R6C",'Mapa final'!$O$40),"")</f>
        <v/>
      </c>
      <c r="W31" s="67" t="str">
        <f>IF(AND('Mapa final'!$Y$41="Media",'Mapa final'!$AA$41="Moderado"),CONCATENATE("R6C",'Mapa final'!$O$41),"")</f>
        <v/>
      </c>
      <c r="X31" s="67" t="str">
        <f>IF(AND('Mapa final'!$Y$42="Media",'Mapa final'!$AA$42="Moderado"),CONCATENATE("R6C",'Mapa final'!$O$42),"")</f>
        <v/>
      </c>
      <c r="Y31" s="67" t="str">
        <f>IF(AND('Mapa final'!$Y$43="Media",'Mapa final'!$AA$43="Moderado"),CONCATENATE("R6C",'Mapa final'!$O$43),"")</f>
        <v/>
      </c>
      <c r="Z31" s="67" t="str">
        <f>IF(AND('Mapa final'!$Y$44="Media",'Mapa final'!$AA$44="Moderado"),CONCATENATE("R6C",'Mapa final'!$O$44),"")</f>
        <v/>
      </c>
      <c r="AA31" s="68" t="str">
        <f>IF(AND('Mapa final'!$Y$45="Media",'Mapa final'!$AA$45="Moderado"),CONCATENATE("R6C",'Mapa final'!$O$45),"")</f>
        <v/>
      </c>
      <c r="AB31" s="51" t="str">
        <f>IF(AND('Mapa final'!$Y$40="Media",'Mapa final'!$AA$40="Mayor"),CONCATENATE("R6C",'Mapa final'!$O$40),"")</f>
        <v/>
      </c>
      <c r="AC31" s="52" t="str">
        <f>IF(AND('Mapa final'!$Y$41="Media",'Mapa final'!$AA$41="Mayor"),CONCATENATE("R6C",'Mapa final'!$O$41),"")</f>
        <v/>
      </c>
      <c r="AD31" s="52" t="str">
        <f>IF(AND('Mapa final'!$Y$42="Media",'Mapa final'!$AA$42="Mayor"),CONCATENATE("R6C",'Mapa final'!$O$42),"")</f>
        <v/>
      </c>
      <c r="AE31" s="52" t="str">
        <f>IF(AND('Mapa final'!$Y$43="Media",'Mapa final'!$AA$43="Mayor"),CONCATENATE("R6C",'Mapa final'!$O$43),"")</f>
        <v/>
      </c>
      <c r="AF31" s="52" t="str">
        <f>IF(AND('Mapa final'!$Y$44="Media",'Mapa final'!$AA$44="Mayor"),CONCATENATE("R6C",'Mapa final'!$O$44),"")</f>
        <v/>
      </c>
      <c r="AG31" s="53" t="str">
        <f>IF(AND('Mapa final'!$Y$45="Media",'Mapa final'!$AA$45="Mayor"),CONCATENATE("R6C",'Mapa final'!$O$45),"")</f>
        <v/>
      </c>
      <c r="AH31" s="54" t="str">
        <f>IF(AND('Mapa final'!$Y$40="Media",'Mapa final'!$AA$40="Catastrófico"),CONCATENATE("R6C",'Mapa final'!$O$40),"")</f>
        <v/>
      </c>
      <c r="AI31" s="55" t="str">
        <f>IF(AND('Mapa final'!$Y$41="Media",'Mapa final'!$AA$41="Catastrófico"),CONCATENATE("R6C",'Mapa final'!$O$41),"")</f>
        <v/>
      </c>
      <c r="AJ31" s="55" t="str">
        <f>IF(AND('Mapa final'!$Y$42="Media",'Mapa final'!$AA$42="Catastrófico"),CONCATENATE("R6C",'Mapa final'!$O$42),"")</f>
        <v/>
      </c>
      <c r="AK31" s="55" t="str">
        <f>IF(AND('Mapa final'!$Y$43="Media",'Mapa final'!$AA$43="Catastrófico"),CONCATENATE("R6C",'Mapa final'!$O$43),"")</f>
        <v/>
      </c>
      <c r="AL31" s="55" t="str">
        <f>IF(AND('Mapa final'!$Y$44="Media",'Mapa final'!$AA$44="Catastrófico"),CONCATENATE("R6C",'Mapa final'!$O$44),"")</f>
        <v/>
      </c>
      <c r="AM31" s="56" t="str">
        <f>IF(AND('Mapa final'!$Y$45="Media",'Mapa final'!$AA$45="Catastrófico"),CONCATENATE("R6C",'Mapa final'!$O$45),"")</f>
        <v/>
      </c>
      <c r="AN31" s="82"/>
      <c r="AO31" s="369"/>
      <c r="AP31" s="370"/>
      <c r="AQ31" s="370"/>
      <c r="AR31" s="370"/>
      <c r="AS31" s="370"/>
      <c r="AT31" s="371"/>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c r="A32" s="82"/>
      <c r="B32" s="288"/>
      <c r="C32" s="288"/>
      <c r="D32" s="289"/>
      <c r="E32" s="329"/>
      <c r="F32" s="330"/>
      <c r="G32" s="330"/>
      <c r="H32" s="330"/>
      <c r="I32" s="331"/>
      <c r="J32" s="66" t="str">
        <f>IF(AND('Mapa final'!$Y$46="Media",'Mapa final'!$AA$46="Leve"),CONCATENATE("R7C",'Mapa final'!$O$46),"")</f>
        <v/>
      </c>
      <c r="K32" s="67" t="str">
        <f>IF(AND('Mapa final'!$Y$47="Media",'Mapa final'!$AA$47="Leve"),CONCATENATE("R7C",'Mapa final'!$O$47),"")</f>
        <v/>
      </c>
      <c r="L32" s="67" t="str">
        <f>IF(AND('Mapa final'!$Y$48="Media",'Mapa final'!$AA$48="Leve"),CONCATENATE("R7C",'Mapa final'!$O$48),"")</f>
        <v/>
      </c>
      <c r="M32" s="67" t="str">
        <f>IF(AND('Mapa final'!$Y$49="Media",'Mapa final'!$AA$49="Leve"),CONCATENATE("R7C",'Mapa final'!$O$49),"")</f>
        <v/>
      </c>
      <c r="N32" s="67" t="str">
        <f>IF(AND('Mapa final'!$Y$50="Media",'Mapa final'!$AA$50="Leve"),CONCATENATE("R7C",'Mapa final'!$O$50),"")</f>
        <v/>
      </c>
      <c r="O32" s="68" t="str">
        <f>IF(AND('Mapa final'!$Y$51="Media",'Mapa final'!$AA$51="Leve"),CONCATENATE("R7C",'Mapa final'!$O$51),"")</f>
        <v/>
      </c>
      <c r="P32" s="66" t="str">
        <f>IF(AND('Mapa final'!$Y$46="Media",'Mapa final'!$AA$46="Menor"),CONCATENATE("R7C",'Mapa final'!$O$46),"")</f>
        <v/>
      </c>
      <c r="Q32" s="67" t="str">
        <f>IF(AND('Mapa final'!$Y$47="Media",'Mapa final'!$AA$47="Menor"),CONCATENATE("R7C",'Mapa final'!$O$47),"")</f>
        <v/>
      </c>
      <c r="R32" s="67" t="str">
        <f>IF(AND('Mapa final'!$Y$48="Media",'Mapa final'!$AA$48="Menor"),CONCATENATE("R7C",'Mapa final'!$O$48),"")</f>
        <v/>
      </c>
      <c r="S32" s="67" t="str">
        <f>IF(AND('Mapa final'!$Y$49="Media",'Mapa final'!$AA$49="Menor"),CONCATENATE("R7C",'Mapa final'!$O$49),"")</f>
        <v/>
      </c>
      <c r="T32" s="67" t="str">
        <f>IF(AND('Mapa final'!$Y$50="Media",'Mapa final'!$AA$50="Menor"),CONCATENATE("R7C",'Mapa final'!$O$50),"")</f>
        <v/>
      </c>
      <c r="U32" s="68" t="str">
        <f>IF(AND('Mapa final'!$Y$51="Media",'Mapa final'!$AA$51="Menor"),CONCATENATE("R7C",'Mapa final'!$O$51),"")</f>
        <v/>
      </c>
      <c r="V32" s="66" t="str">
        <f>IF(AND('Mapa final'!$Y$46="Media",'Mapa final'!$AA$46="Moderado"),CONCATENATE("R7C",'Mapa final'!$O$46),"")</f>
        <v/>
      </c>
      <c r="W32" s="67" t="str">
        <f>IF(AND('Mapa final'!$Y$47="Media",'Mapa final'!$AA$47="Moderado"),CONCATENATE("R7C",'Mapa final'!$O$47),"")</f>
        <v/>
      </c>
      <c r="X32" s="67" t="str">
        <f>IF(AND('Mapa final'!$Y$48="Media",'Mapa final'!$AA$48="Moderado"),CONCATENATE("R7C",'Mapa final'!$O$48),"")</f>
        <v/>
      </c>
      <c r="Y32" s="67" t="str">
        <f>IF(AND('Mapa final'!$Y$49="Media",'Mapa final'!$AA$49="Moderado"),CONCATENATE("R7C",'Mapa final'!$O$49),"")</f>
        <v/>
      </c>
      <c r="Z32" s="67" t="str">
        <f>IF(AND('Mapa final'!$Y$50="Media",'Mapa final'!$AA$50="Moderado"),CONCATENATE("R7C",'Mapa final'!$O$50),"")</f>
        <v/>
      </c>
      <c r="AA32" s="68" t="str">
        <f>IF(AND('Mapa final'!$Y$51="Media",'Mapa final'!$AA$51="Moderado"),CONCATENATE("R7C",'Mapa final'!$O$51),"")</f>
        <v/>
      </c>
      <c r="AB32" s="51" t="str">
        <f>IF(AND('Mapa final'!$Y$46="Media",'Mapa final'!$AA$46="Mayor"),CONCATENATE("R7C",'Mapa final'!$O$46),"")</f>
        <v/>
      </c>
      <c r="AC32" s="52" t="str">
        <f>IF(AND('Mapa final'!$Y$47="Media",'Mapa final'!$AA$47="Mayor"),CONCATENATE("R7C",'Mapa final'!$O$47),"")</f>
        <v/>
      </c>
      <c r="AD32" s="52" t="str">
        <f>IF(AND('Mapa final'!$Y$48="Media",'Mapa final'!$AA$48="Mayor"),CONCATENATE("R7C",'Mapa final'!$O$48),"")</f>
        <v/>
      </c>
      <c r="AE32" s="52" t="str">
        <f>IF(AND('Mapa final'!$Y$49="Media",'Mapa final'!$AA$49="Mayor"),CONCATENATE("R7C",'Mapa final'!$O$49),"")</f>
        <v/>
      </c>
      <c r="AF32" s="52" t="str">
        <f>IF(AND('Mapa final'!$Y$50="Media",'Mapa final'!$AA$50="Mayor"),CONCATENATE("R7C",'Mapa final'!$O$50),"")</f>
        <v/>
      </c>
      <c r="AG32" s="53" t="str">
        <f>IF(AND('Mapa final'!$Y$51="Media",'Mapa final'!$AA$51="Mayor"),CONCATENATE("R7C",'Mapa final'!$O$51),"")</f>
        <v/>
      </c>
      <c r="AH32" s="54" t="str">
        <f>IF(AND('Mapa final'!$Y$46="Media",'Mapa final'!$AA$46="Catastrófico"),CONCATENATE("R7C",'Mapa final'!$O$46),"")</f>
        <v/>
      </c>
      <c r="AI32" s="55" t="str">
        <f>IF(AND('Mapa final'!$Y$47="Media",'Mapa final'!$AA$47="Catastrófico"),CONCATENATE("R7C",'Mapa final'!$O$47),"")</f>
        <v/>
      </c>
      <c r="AJ32" s="55" t="str">
        <f>IF(AND('Mapa final'!$Y$48="Media",'Mapa final'!$AA$48="Catastrófico"),CONCATENATE("R7C",'Mapa final'!$O$48),"")</f>
        <v/>
      </c>
      <c r="AK32" s="55" t="str">
        <f>IF(AND('Mapa final'!$Y$49="Media",'Mapa final'!$AA$49="Catastrófico"),CONCATENATE("R7C",'Mapa final'!$O$49),"")</f>
        <v/>
      </c>
      <c r="AL32" s="55" t="str">
        <f>IF(AND('Mapa final'!$Y$50="Media",'Mapa final'!$AA$50="Catastrófico"),CONCATENATE("R7C",'Mapa final'!$O$50),"")</f>
        <v/>
      </c>
      <c r="AM32" s="56" t="str">
        <f>IF(AND('Mapa final'!$Y$51="Media",'Mapa final'!$AA$51="Catastrófico"),CONCATENATE("R7C",'Mapa final'!$O$51),"")</f>
        <v/>
      </c>
      <c r="AN32" s="82"/>
      <c r="AO32" s="369"/>
      <c r="AP32" s="370"/>
      <c r="AQ32" s="370"/>
      <c r="AR32" s="370"/>
      <c r="AS32" s="370"/>
      <c r="AT32" s="371"/>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c r="A33" s="82"/>
      <c r="B33" s="288"/>
      <c r="C33" s="288"/>
      <c r="D33" s="289"/>
      <c r="E33" s="329"/>
      <c r="F33" s="330"/>
      <c r="G33" s="330"/>
      <c r="H33" s="330"/>
      <c r="I33" s="331"/>
      <c r="J33" s="66" t="str">
        <f>IF(AND('Mapa final'!$Y$52="Media",'Mapa final'!$AA$52="Leve"),CONCATENATE("R8C",'Mapa final'!$O$52),"")</f>
        <v/>
      </c>
      <c r="K33" s="67" t="str">
        <f>IF(AND('Mapa final'!$Y$53="Media",'Mapa final'!$AA$53="Leve"),CONCATENATE("R8C",'Mapa final'!$O$53),"")</f>
        <v/>
      </c>
      <c r="L33" s="67" t="str">
        <f>IF(AND('Mapa final'!$Y$54="Media",'Mapa final'!$AA$54="Leve"),CONCATENATE("R8C",'Mapa final'!$O$54),"")</f>
        <v/>
      </c>
      <c r="M33" s="67" t="str">
        <f>IF(AND('Mapa final'!$Y$55="Media",'Mapa final'!$AA$55="Leve"),CONCATENATE("R8C",'Mapa final'!$O$55),"")</f>
        <v/>
      </c>
      <c r="N33" s="67" t="str">
        <f>IF(AND('Mapa final'!$Y$56="Media",'Mapa final'!$AA$56="Leve"),CONCATENATE("R8C",'Mapa final'!$O$56),"")</f>
        <v/>
      </c>
      <c r="O33" s="68" t="str">
        <f>IF(AND('Mapa final'!$Y$57="Media",'Mapa final'!$AA$57="Leve"),CONCATENATE("R8C",'Mapa final'!$O$57),"")</f>
        <v/>
      </c>
      <c r="P33" s="66" t="str">
        <f>IF(AND('Mapa final'!$Y$52="Media",'Mapa final'!$AA$52="Menor"),CONCATENATE("R8C",'Mapa final'!$O$52),"")</f>
        <v/>
      </c>
      <c r="Q33" s="67" t="str">
        <f>IF(AND('Mapa final'!$Y$53="Media",'Mapa final'!$AA$53="Menor"),CONCATENATE("R8C",'Mapa final'!$O$53),"")</f>
        <v/>
      </c>
      <c r="R33" s="67" t="str">
        <f>IF(AND('Mapa final'!$Y$54="Media",'Mapa final'!$AA$54="Menor"),CONCATENATE("R8C",'Mapa final'!$O$54),"")</f>
        <v/>
      </c>
      <c r="S33" s="67" t="str">
        <f>IF(AND('Mapa final'!$Y$55="Media",'Mapa final'!$AA$55="Menor"),CONCATENATE("R8C",'Mapa final'!$O$55),"")</f>
        <v/>
      </c>
      <c r="T33" s="67" t="str">
        <f>IF(AND('Mapa final'!$Y$56="Media",'Mapa final'!$AA$56="Menor"),CONCATENATE("R8C",'Mapa final'!$O$56),"")</f>
        <v/>
      </c>
      <c r="U33" s="68" t="str">
        <f>IF(AND('Mapa final'!$Y$57="Media",'Mapa final'!$AA$57="Menor"),CONCATENATE("R8C",'Mapa final'!$O$57),"")</f>
        <v/>
      </c>
      <c r="V33" s="66" t="str">
        <f>IF(AND('Mapa final'!$Y$52="Media",'Mapa final'!$AA$52="Moderado"),CONCATENATE("R8C",'Mapa final'!$O$52),"")</f>
        <v/>
      </c>
      <c r="W33" s="67" t="str">
        <f>IF(AND('Mapa final'!$Y$53="Media",'Mapa final'!$AA$53="Moderado"),CONCATENATE("R8C",'Mapa final'!$O$53),"")</f>
        <v/>
      </c>
      <c r="X33" s="67" t="str">
        <f>IF(AND('Mapa final'!$Y$54="Media",'Mapa final'!$AA$54="Moderado"),CONCATENATE("R8C",'Mapa final'!$O$54),"")</f>
        <v/>
      </c>
      <c r="Y33" s="67" t="str">
        <f>IF(AND('Mapa final'!$Y$55="Media",'Mapa final'!$AA$55="Moderado"),CONCATENATE("R8C",'Mapa final'!$O$55),"")</f>
        <v/>
      </c>
      <c r="Z33" s="67" t="str">
        <f>IF(AND('Mapa final'!$Y$56="Media",'Mapa final'!$AA$56="Moderado"),CONCATENATE("R8C",'Mapa final'!$O$56),"")</f>
        <v/>
      </c>
      <c r="AA33" s="68" t="str">
        <f>IF(AND('Mapa final'!$Y$57="Media",'Mapa final'!$AA$57="Moderado"),CONCATENATE("R8C",'Mapa final'!$O$57),"")</f>
        <v/>
      </c>
      <c r="AB33" s="51" t="str">
        <f>IF(AND('Mapa final'!$Y$52="Media",'Mapa final'!$AA$52="Mayor"),CONCATENATE("R8C",'Mapa final'!$O$52),"")</f>
        <v/>
      </c>
      <c r="AC33" s="52" t="str">
        <f>IF(AND('Mapa final'!$Y$53="Media",'Mapa final'!$AA$53="Mayor"),CONCATENATE("R8C",'Mapa final'!$O$53),"")</f>
        <v/>
      </c>
      <c r="AD33" s="52" t="str">
        <f>IF(AND('Mapa final'!$Y$54="Media",'Mapa final'!$AA$54="Mayor"),CONCATENATE("R8C",'Mapa final'!$O$54),"")</f>
        <v/>
      </c>
      <c r="AE33" s="52" t="str">
        <f>IF(AND('Mapa final'!$Y$55="Media",'Mapa final'!$AA$55="Mayor"),CONCATENATE("R8C",'Mapa final'!$O$55),"")</f>
        <v/>
      </c>
      <c r="AF33" s="52" t="str">
        <f>IF(AND('Mapa final'!$Y$56="Media",'Mapa final'!$AA$56="Mayor"),CONCATENATE("R8C",'Mapa final'!$O$56),"")</f>
        <v/>
      </c>
      <c r="AG33" s="53" t="str">
        <f>IF(AND('Mapa final'!$Y$57="Media",'Mapa final'!$AA$57="Mayor"),CONCATENATE("R8C",'Mapa final'!$O$57),"")</f>
        <v/>
      </c>
      <c r="AH33" s="54" t="str">
        <f>IF(AND('Mapa final'!$Y$52="Media",'Mapa final'!$AA$52="Catastrófico"),CONCATENATE("R8C",'Mapa final'!$O$52),"")</f>
        <v/>
      </c>
      <c r="AI33" s="55" t="str">
        <f>IF(AND('Mapa final'!$Y$53="Media",'Mapa final'!$AA$53="Catastrófico"),CONCATENATE("R8C",'Mapa final'!$O$53),"")</f>
        <v/>
      </c>
      <c r="AJ33" s="55" t="str">
        <f>IF(AND('Mapa final'!$Y$54="Media",'Mapa final'!$AA$54="Catastrófico"),CONCATENATE("R8C",'Mapa final'!$O$54),"")</f>
        <v/>
      </c>
      <c r="AK33" s="55" t="str">
        <f>IF(AND('Mapa final'!$Y$55="Media",'Mapa final'!$AA$55="Catastrófico"),CONCATENATE("R8C",'Mapa final'!$O$55),"")</f>
        <v/>
      </c>
      <c r="AL33" s="55" t="str">
        <f>IF(AND('Mapa final'!$Y$56="Media",'Mapa final'!$AA$56="Catastrófico"),CONCATENATE("R8C",'Mapa final'!$O$56),"")</f>
        <v/>
      </c>
      <c r="AM33" s="56" t="str">
        <f>IF(AND('Mapa final'!$Y$57="Media",'Mapa final'!$AA$57="Catastrófico"),CONCATENATE("R8C",'Mapa final'!$O$57),"")</f>
        <v/>
      </c>
      <c r="AN33" s="82"/>
      <c r="AO33" s="369"/>
      <c r="AP33" s="370"/>
      <c r="AQ33" s="370"/>
      <c r="AR33" s="370"/>
      <c r="AS33" s="370"/>
      <c r="AT33" s="371"/>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c r="A34" s="82"/>
      <c r="B34" s="288"/>
      <c r="C34" s="288"/>
      <c r="D34" s="289"/>
      <c r="E34" s="329"/>
      <c r="F34" s="330"/>
      <c r="G34" s="330"/>
      <c r="H34" s="330"/>
      <c r="I34" s="331"/>
      <c r="J34" s="66" t="str">
        <f>IF(AND('Mapa final'!$Y$58="Media",'Mapa final'!$AA$58="Leve"),CONCATENATE("R9C",'Mapa final'!$O$58),"")</f>
        <v/>
      </c>
      <c r="K34" s="67" t="str">
        <f>IF(AND('Mapa final'!$Y$59="Media",'Mapa final'!$AA$59="Leve"),CONCATENATE("R9C",'Mapa final'!$O$59),"")</f>
        <v/>
      </c>
      <c r="L34" s="67" t="str">
        <f>IF(AND('Mapa final'!$Y$60="Media",'Mapa final'!$AA$60="Leve"),CONCATENATE("R9C",'Mapa final'!$O$60),"")</f>
        <v/>
      </c>
      <c r="M34" s="67" t="str">
        <f>IF(AND('Mapa final'!$Y$61="Media",'Mapa final'!$AA$61="Leve"),CONCATENATE("R9C",'Mapa final'!$O$61),"")</f>
        <v/>
      </c>
      <c r="N34" s="67" t="str">
        <f>IF(AND('Mapa final'!$Y$62="Media",'Mapa final'!$AA$62="Leve"),CONCATENATE("R9C",'Mapa final'!$O$62),"")</f>
        <v/>
      </c>
      <c r="O34" s="68" t="str">
        <f>IF(AND('Mapa final'!$Y$63="Media",'Mapa final'!$AA$63="Leve"),CONCATENATE("R9C",'Mapa final'!$O$63),"")</f>
        <v/>
      </c>
      <c r="P34" s="66" t="str">
        <f>IF(AND('Mapa final'!$Y$58="Media",'Mapa final'!$AA$58="Menor"),CONCATENATE("R9C",'Mapa final'!$O$58),"")</f>
        <v/>
      </c>
      <c r="Q34" s="67" t="str">
        <f>IF(AND('Mapa final'!$Y$59="Media",'Mapa final'!$AA$59="Menor"),CONCATENATE("R9C",'Mapa final'!$O$59),"")</f>
        <v/>
      </c>
      <c r="R34" s="67" t="str">
        <f>IF(AND('Mapa final'!$Y$60="Media",'Mapa final'!$AA$60="Menor"),CONCATENATE("R9C",'Mapa final'!$O$60),"")</f>
        <v/>
      </c>
      <c r="S34" s="67" t="str">
        <f>IF(AND('Mapa final'!$Y$61="Media",'Mapa final'!$AA$61="Menor"),CONCATENATE("R9C",'Mapa final'!$O$61),"")</f>
        <v/>
      </c>
      <c r="T34" s="67" t="str">
        <f>IF(AND('Mapa final'!$Y$62="Media",'Mapa final'!$AA$62="Menor"),CONCATENATE("R9C",'Mapa final'!$O$62),"")</f>
        <v/>
      </c>
      <c r="U34" s="68" t="str">
        <f>IF(AND('Mapa final'!$Y$63="Media",'Mapa final'!$AA$63="Menor"),CONCATENATE("R9C",'Mapa final'!$O$63),"")</f>
        <v/>
      </c>
      <c r="V34" s="66" t="str">
        <f>IF(AND('Mapa final'!$Y$58="Media",'Mapa final'!$AA$58="Moderado"),CONCATENATE("R9C",'Mapa final'!$O$58),"")</f>
        <v/>
      </c>
      <c r="W34" s="67" t="str">
        <f>IF(AND('Mapa final'!$Y$59="Media",'Mapa final'!$AA$59="Moderado"),CONCATENATE("R9C",'Mapa final'!$O$59),"")</f>
        <v/>
      </c>
      <c r="X34" s="67" t="str">
        <f>IF(AND('Mapa final'!$Y$60="Media",'Mapa final'!$AA$60="Moderado"),CONCATENATE("R9C",'Mapa final'!$O$60),"")</f>
        <v/>
      </c>
      <c r="Y34" s="67" t="str">
        <f>IF(AND('Mapa final'!$Y$61="Media",'Mapa final'!$AA$61="Moderado"),CONCATENATE("R9C",'Mapa final'!$O$61),"")</f>
        <v/>
      </c>
      <c r="Z34" s="67" t="str">
        <f>IF(AND('Mapa final'!$Y$62="Media",'Mapa final'!$AA$62="Moderado"),CONCATENATE("R9C",'Mapa final'!$O$62),"")</f>
        <v/>
      </c>
      <c r="AA34" s="68" t="str">
        <f>IF(AND('Mapa final'!$Y$63="Media",'Mapa final'!$AA$63="Moderado"),CONCATENATE("R9C",'Mapa final'!$O$63),"")</f>
        <v/>
      </c>
      <c r="AB34" s="51" t="str">
        <f>IF(AND('Mapa final'!$Y$58="Media",'Mapa final'!$AA$58="Mayor"),CONCATENATE("R9C",'Mapa final'!$O$58),"")</f>
        <v/>
      </c>
      <c r="AC34" s="52" t="str">
        <f>IF(AND('Mapa final'!$Y$59="Media",'Mapa final'!$AA$59="Mayor"),CONCATENATE("R9C",'Mapa final'!$O$59),"")</f>
        <v/>
      </c>
      <c r="AD34" s="52" t="str">
        <f>IF(AND('Mapa final'!$Y$60="Media",'Mapa final'!$AA$60="Mayor"),CONCATENATE("R9C",'Mapa final'!$O$60),"")</f>
        <v/>
      </c>
      <c r="AE34" s="52" t="str">
        <f>IF(AND('Mapa final'!$Y$61="Media",'Mapa final'!$AA$61="Mayor"),CONCATENATE("R9C",'Mapa final'!$O$61),"")</f>
        <v/>
      </c>
      <c r="AF34" s="52" t="str">
        <f>IF(AND('Mapa final'!$Y$62="Media",'Mapa final'!$AA$62="Mayor"),CONCATENATE("R9C",'Mapa final'!$O$62),"")</f>
        <v/>
      </c>
      <c r="AG34" s="53" t="str">
        <f>IF(AND('Mapa final'!$Y$63="Media",'Mapa final'!$AA$63="Mayor"),CONCATENATE("R9C",'Mapa final'!$O$63),"")</f>
        <v/>
      </c>
      <c r="AH34" s="54" t="str">
        <f>IF(AND('Mapa final'!$Y$58="Media",'Mapa final'!$AA$58="Catastrófico"),CONCATENATE("R9C",'Mapa final'!$O$58),"")</f>
        <v/>
      </c>
      <c r="AI34" s="55" t="str">
        <f>IF(AND('Mapa final'!$Y$59="Media",'Mapa final'!$AA$59="Catastrófico"),CONCATENATE("R9C",'Mapa final'!$O$59),"")</f>
        <v/>
      </c>
      <c r="AJ34" s="55" t="str">
        <f>IF(AND('Mapa final'!$Y$60="Media",'Mapa final'!$AA$60="Catastrófico"),CONCATENATE("R9C",'Mapa final'!$O$60),"")</f>
        <v/>
      </c>
      <c r="AK34" s="55" t="str">
        <f>IF(AND('Mapa final'!$Y$61="Media",'Mapa final'!$AA$61="Catastrófico"),CONCATENATE("R9C",'Mapa final'!$O$61),"")</f>
        <v/>
      </c>
      <c r="AL34" s="55" t="str">
        <f>IF(AND('Mapa final'!$Y$62="Media",'Mapa final'!$AA$62="Catastrófico"),CONCATENATE("R9C",'Mapa final'!$O$62),"")</f>
        <v/>
      </c>
      <c r="AM34" s="56" t="str">
        <f>IF(AND('Mapa final'!$Y$63="Media",'Mapa final'!$AA$63="Catastrófico"),CONCATENATE("R9C",'Mapa final'!$O$63),"")</f>
        <v/>
      </c>
      <c r="AN34" s="82"/>
      <c r="AO34" s="369"/>
      <c r="AP34" s="370"/>
      <c r="AQ34" s="370"/>
      <c r="AR34" s="370"/>
      <c r="AS34" s="370"/>
      <c r="AT34" s="371"/>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c r="A35" s="82"/>
      <c r="B35" s="288"/>
      <c r="C35" s="288"/>
      <c r="D35" s="289"/>
      <c r="E35" s="332"/>
      <c r="F35" s="333"/>
      <c r="G35" s="333"/>
      <c r="H35" s="333"/>
      <c r="I35" s="334"/>
      <c r="J35" s="66" t="str">
        <f>IF(AND('Mapa final'!$Y$64="Media",'Mapa final'!$AA$64="Leve"),CONCATENATE("R10C",'Mapa final'!$O$64),"")</f>
        <v/>
      </c>
      <c r="K35" s="67" t="str">
        <f>IF(AND('Mapa final'!$Y$65="Media",'Mapa final'!$AA$65="Leve"),CONCATENATE("R10C",'Mapa final'!$O$65),"")</f>
        <v/>
      </c>
      <c r="L35" s="67" t="str">
        <f>IF(AND('Mapa final'!$Y$66="Media",'Mapa final'!$AA$66="Leve"),CONCATENATE("R10C",'Mapa final'!$O$66),"")</f>
        <v/>
      </c>
      <c r="M35" s="67" t="str">
        <f>IF(AND('Mapa final'!$Y$67="Media",'Mapa final'!$AA$67="Leve"),CONCATENATE("R10C",'Mapa final'!$O$67),"")</f>
        <v/>
      </c>
      <c r="N35" s="67" t="str">
        <f>IF(AND('Mapa final'!$Y$68="Media",'Mapa final'!$AA$68="Leve"),CONCATENATE("R10C",'Mapa final'!$O$68),"")</f>
        <v/>
      </c>
      <c r="O35" s="68" t="str">
        <f>IF(AND('Mapa final'!$Y$69="Media",'Mapa final'!$AA$69="Leve"),CONCATENATE("R10C",'Mapa final'!$O$69),"")</f>
        <v/>
      </c>
      <c r="P35" s="66" t="str">
        <f>IF(AND('Mapa final'!$Y$64="Media",'Mapa final'!$AA$64="Menor"),CONCATENATE("R10C",'Mapa final'!$O$64),"")</f>
        <v/>
      </c>
      <c r="Q35" s="67" t="str">
        <f>IF(AND('Mapa final'!$Y$65="Media",'Mapa final'!$AA$65="Menor"),CONCATENATE("R10C",'Mapa final'!$O$65),"")</f>
        <v/>
      </c>
      <c r="R35" s="67" t="str">
        <f>IF(AND('Mapa final'!$Y$66="Media",'Mapa final'!$AA$66="Menor"),CONCATENATE("R10C",'Mapa final'!$O$66),"")</f>
        <v/>
      </c>
      <c r="S35" s="67" t="str">
        <f>IF(AND('Mapa final'!$Y$67="Media",'Mapa final'!$AA$67="Menor"),CONCATENATE("R10C",'Mapa final'!$O$67),"")</f>
        <v/>
      </c>
      <c r="T35" s="67" t="str">
        <f>IF(AND('Mapa final'!$Y$68="Media",'Mapa final'!$AA$68="Menor"),CONCATENATE("R10C",'Mapa final'!$O$68),"")</f>
        <v/>
      </c>
      <c r="U35" s="68" t="str">
        <f>IF(AND('Mapa final'!$Y$69="Media",'Mapa final'!$AA$69="Menor"),CONCATENATE("R10C",'Mapa final'!$O$69),"")</f>
        <v/>
      </c>
      <c r="V35" s="66" t="str">
        <f>IF(AND('Mapa final'!$Y$64="Media",'Mapa final'!$AA$64="Moderado"),CONCATENATE("R10C",'Mapa final'!$O$64),"")</f>
        <v/>
      </c>
      <c r="W35" s="67" t="str">
        <f>IF(AND('Mapa final'!$Y$65="Media",'Mapa final'!$AA$65="Moderado"),CONCATENATE("R10C",'Mapa final'!$O$65),"")</f>
        <v/>
      </c>
      <c r="X35" s="67" t="str">
        <f>IF(AND('Mapa final'!$Y$66="Media",'Mapa final'!$AA$66="Moderado"),CONCATENATE("R10C",'Mapa final'!$O$66),"")</f>
        <v/>
      </c>
      <c r="Y35" s="67" t="str">
        <f>IF(AND('Mapa final'!$Y$67="Media",'Mapa final'!$AA$67="Moderado"),CONCATENATE("R10C",'Mapa final'!$O$67),"")</f>
        <v/>
      </c>
      <c r="Z35" s="67" t="str">
        <f>IF(AND('Mapa final'!$Y$68="Media",'Mapa final'!$AA$68="Moderado"),CONCATENATE("R10C",'Mapa final'!$O$68),"")</f>
        <v/>
      </c>
      <c r="AA35" s="68" t="str">
        <f>IF(AND('Mapa final'!$Y$69="Media",'Mapa final'!$AA$69="Moderado"),CONCATENATE("R10C",'Mapa final'!$O$69),"")</f>
        <v/>
      </c>
      <c r="AB35" s="57" t="str">
        <f>IF(AND('Mapa final'!$Y$64="Media",'Mapa final'!$AA$64="Mayor"),CONCATENATE("R10C",'Mapa final'!$O$64),"")</f>
        <v/>
      </c>
      <c r="AC35" s="58" t="str">
        <f>IF(AND('Mapa final'!$Y$65="Media",'Mapa final'!$AA$65="Mayor"),CONCATENATE("R10C",'Mapa final'!$O$65),"")</f>
        <v/>
      </c>
      <c r="AD35" s="58" t="str">
        <f>IF(AND('Mapa final'!$Y$66="Media",'Mapa final'!$AA$66="Mayor"),CONCATENATE("R10C",'Mapa final'!$O$66),"")</f>
        <v/>
      </c>
      <c r="AE35" s="58" t="str">
        <f>IF(AND('Mapa final'!$Y$67="Media",'Mapa final'!$AA$67="Mayor"),CONCATENATE("R10C",'Mapa final'!$O$67),"")</f>
        <v/>
      </c>
      <c r="AF35" s="58" t="str">
        <f>IF(AND('Mapa final'!$Y$68="Media",'Mapa final'!$AA$68="Mayor"),CONCATENATE("R10C",'Mapa final'!$O$68),"")</f>
        <v/>
      </c>
      <c r="AG35" s="59" t="str">
        <f>IF(AND('Mapa final'!$Y$69="Media",'Mapa final'!$AA$69="Mayor"),CONCATENATE("R10C",'Mapa final'!$O$69),"")</f>
        <v/>
      </c>
      <c r="AH35" s="60" t="str">
        <f>IF(AND('Mapa final'!$Y$64="Media",'Mapa final'!$AA$64="Catastrófico"),CONCATENATE("R10C",'Mapa final'!$O$64),"")</f>
        <v/>
      </c>
      <c r="AI35" s="61" t="str">
        <f>IF(AND('Mapa final'!$Y$65="Media",'Mapa final'!$AA$65="Catastrófico"),CONCATENATE("R10C",'Mapa final'!$O$65),"")</f>
        <v/>
      </c>
      <c r="AJ35" s="61" t="str">
        <f>IF(AND('Mapa final'!$Y$66="Media",'Mapa final'!$AA$66="Catastrófico"),CONCATENATE("R10C",'Mapa final'!$O$66),"")</f>
        <v/>
      </c>
      <c r="AK35" s="61" t="str">
        <f>IF(AND('Mapa final'!$Y$67="Media",'Mapa final'!$AA$67="Catastrófico"),CONCATENATE("R10C",'Mapa final'!$O$67),"")</f>
        <v/>
      </c>
      <c r="AL35" s="61" t="str">
        <f>IF(AND('Mapa final'!$Y$68="Media",'Mapa final'!$AA$68="Catastrófico"),CONCATENATE("R10C",'Mapa final'!$O$68),"")</f>
        <v/>
      </c>
      <c r="AM35" s="62" t="str">
        <f>IF(AND('Mapa final'!$Y$69="Media",'Mapa final'!$AA$69="Catastrófico"),CONCATENATE("R10C",'Mapa final'!$O$69),"")</f>
        <v/>
      </c>
      <c r="AN35" s="82"/>
      <c r="AO35" s="372"/>
      <c r="AP35" s="373"/>
      <c r="AQ35" s="373"/>
      <c r="AR35" s="373"/>
      <c r="AS35" s="373"/>
      <c r="AT35" s="374"/>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c r="A36" s="82"/>
      <c r="B36" s="288"/>
      <c r="C36" s="288"/>
      <c r="D36" s="289"/>
      <c r="E36" s="326" t="s">
        <v>173</v>
      </c>
      <c r="F36" s="327"/>
      <c r="G36" s="327"/>
      <c r="H36" s="327"/>
      <c r="I36" s="327"/>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R1C2</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357" t="s">
        <v>174</v>
      </c>
      <c r="AP36" s="358"/>
      <c r="AQ36" s="358"/>
      <c r="AR36" s="358"/>
      <c r="AS36" s="358"/>
      <c r="AT36" s="359"/>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c r="A37" s="82"/>
      <c r="B37" s="288"/>
      <c r="C37" s="288"/>
      <c r="D37" s="289"/>
      <c r="E37" s="345"/>
      <c r="F37" s="330"/>
      <c r="G37" s="330"/>
      <c r="H37" s="330"/>
      <c r="I37" s="330"/>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
      </c>
      <c r="AC37" s="52" t="str">
        <f>IF(AND('Mapa final'!$Y$17="Baja",'Mapa final'!$AA$17="Mayor"),CONCATENATE("R2C",'Mapa final'!$O$17),"")</f>
        <v>R2C2</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360"/>
      <c r="AP37" s="361"/>
      <c r="AQ37" s="361"/>
      <c r="AR37" s="361"/>
      <c r="AS37" s="361"/>
      <c r="AT37" s="36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c r="A38" s="82"/>
      <c r="B38" s="288"/>
      <c r="C38" s="288"/>
      <c r="D38" s="289"/>
      <c r="E38" s="329"/>
      <c r="F38" s="330"/>
      <c r="G38" s="330"/>
      <c r="H38" s="330"/>
      <c r="I38" s="330"/>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R3C2</v>
      </c>
      <c r="AD38" s="52" t="str">
        <f>IF(AND('Mapa final'!$Y$24="Baja",'Mapa final'!$AA$24="Mayor"),CONCATENATE("R3C",'Mapa final'!$O$24),"")</f>
        <v>R3C3</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360"/>
      <c r="AP38" s="361"/>
      <c r="AQ38" s="361"/>
      <c r="AR38" s="361"/>
      <c r="AS38" s="361"/>
      <c r="AT38" s="36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c r="A39" s="82"/>
      <c r="B39" s="288"/>
      <c r="C39" s="288"/>
      <c r="D39" s="289"/>
      <c r="E39" s="329"/>
      <c r="F39" s="330"/>
      <c r="G39" s="330"/>
      <c r="H39" s="330"/>
      <c r="I39" s="330"/>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R4C2</v>
      </c>
      <c r="AD39" s="52" t="str">
        <f>IF(AND('Mapa final'!$Y$30="Baja",'Mapa final'!$AA$30="Mayor"),CONCATENATE("R4C",'Mapa final'!$O$30),"")</f>
        <v>R4C3</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360"/>
      <c r="AP39" s="361"/>
      <c r="AQ39" s="361"/>
      <c r="AR39" s="361"/>
      <c r="AS39" s="361"/>
      <c r="AT39" s="36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c r="A40" s="82"/>
      <c r="B40" s="288"/>
      <c r="C40" s="288"/>
      <c r="D40" s="289"/>
      <c r="E40" s="329"/>
      <c r="F40" s="330"/>
      <c r="G40" s="330"/>
      <c r="H40" s="330"/>
      <c r="I40" s="330"/>
      <c r="J40" s="75" t="str">
        <f>IF(AND('Mapa final'!$Y$34="Baja",'Mapa final'!$AA$34="Leve"),CONCATENATE("R5C",'Mapa final'!$O$34),"")</f>
        <v/>
      </c>
      <c r="K40" s="76" t="str">
        <f>IF(AND('Mapa final'!$Y$35="Baja",'Mapa final'!$AA$35="Leve"),CONCATENATE("R5C",'Mapa final'!$O$35),"")</f>
        <v/>
      </c>
      <c r="L40" s="76" t="str">
        <f>IF(AND('Mapa final'!$Y$36="Baja",'Mapa final'!$AA$36="Leve"),CONCATENATE("R5C",'Mapa final'!$O$36),"")</f>
        <v/>
      </c>
      <c r="M40" s="76" t="str">
        <f>IF(AND('Mapa final'!$Y$37="Baja",'Mapa final'!$AA$37="Leve"),CONCATENATE("R5C",'Mapa final'!$O$37),"")</f>
        <v/>
      </c>
      <c r="N40" s="76" t="str">
        <f>IF(AND('Mapa final'!$Y$38="Baja",'Mapa final'!$AA$38="Leve"),CONCATENATE("R5C",'Mapa final'!$O$38),"")</f>
        <v/>
      </c>
      <c r="O40" s="77" t="str">
        <f>IF(AND('Mapa final'!$Y$39="Baja",'Mapa final'!$AA$39="Leve"),CONCATENATE("R5C",'Mapa final'!$O$39),"")</f>
        <v/>
      </c>
      <c r="P40" s="66" t="str">
        <f>IF(AND('Mapa final'!$Y$34="Baja",'Mapa final'!$AA$34="Menor"),CONCATENATE("R5C",'Mapa final'!$O$34),"")</f>
        <v/>
      </c>
      <c r="Q40" s="67" t="str">
        <f>IF(AND('Mapa final'!$Y$35="Baja",'Mapa final'!$AA$35="Menor"),CONCATENATE("R5C",'Mapa final'!$O$35),"")</f>
        <v/>
      </c>
      <c r="R40" s="67" t="str">
        <f>IF(AND('Mapa final'!$Y$36="Baja",'Mapa final'!$AA$36="Menor"),CONCATENATE("R5C",'Mapa final'!$O$36),"")</f>
        <v/>
      </c>
      <c r="S40" s="67" t="str">
        <f>IF(AND('Mapa final'!$Y$37="Baja",'Mapa final'!$AA$37="Menor"),CONCATENATE("R5C",'Mapa final'!$O$37),"")</f>
        <v/>
      </c>
      <c r="T40" s="67" t="str">
        <f>IF(AND('Mapa final'!$Y$38="Baja",'Mapa final'!$AA$38="Menor"),CONCATENATE("R5C",'Mapa final'!$O$38),"")</f>
        <v/>
      </c>
      <c r="U40" s="68" t="str">
        <f>IF(AND('Mapa final'!$Y$39="Baja",'Mapa final'!$AA$39="Menor"),CONCATENATE("R5C",'Mapa final'!$O$39),"")</f>
        <v/>
      </c>
      <c r="V40" s="66" t="str">
        <f>IF(AND('Mapa final'!$Y$34="Baja",'Mapa final'!$AA$34="Moderado"),CONCATENATE("R5C",'Mapa final'!$O$34),"")</f>
        <v/>
      </c>
      <c r="W40" s="67" t="str">
        <f>IF(AND('Mapa final'!$Y$35="Baja",'Mapa final'!$AA$35="Moderado"),CONCATENATE("R5C",'Mapa final'!$O$35),"")</f>
        <v/>
      </c>
      <c r="X40" s="67" t="str">
        <f>IF(AND('Mapa final'!$Y$36="Baja",'Mapa final'!$AA$36="Moderado"),CONCATENATE("R5C",'Mapa final'!$O$36),"")</f>
        <v/>
      </c>
      <c r="Y40" s="67" t="str">
        <f>IF(AND('Mapa final'!$Y$37="Baja",'Mapa final'!$AA$37="Moderado"),CONCATENATE("R5C",'Mapa final'!$O$37),"")</f>
        <v/>
      </c>
      <c r="Z40" s="67" t="str">
        <f>IF(AND('Mapa final'!$Y$38="Baja",'Mapa final'!$AA$38="Moderado"),CONCATENATE("R5C",'Mapa final'!$O$38),"")</f>
        <v/>
      </c>
      <c r="AA40" s="68" t="str">
        <f>IF(AND('Mapa final'!$Y$39="Baja",'Mapa final'!$AA$39="Moderado"),CONCATENATE("R5C",'Mapa final'!$O$39),"")</f>
        <v/>
      </c>
      <c r="AB40" s="51" t="str">
        <f>IF(AND('Mapa final'!$Y$34="Baja",'Mapa final'!$AA$34="Mayor"),CONCATENATE("R5C",'Mapa final'!$O$34),"")</f>
        <v/>
      </c>
      <c r="AC40" s="52" t="str">
        <f>IF(AND('Mapa final'!$Y$35="Baja",'Mapa final'!$AA$35="Mayor"),CONCATENATE("R5C",'Mapa final'!$O$35),"")</f>
        <v/>
      </c>
      <c r="AD40" s="52" t="str">
        <f>IF(AND('Mapa final'!$Y$36="Baja",'Mapa final'!$AA$36="Mayor"),CONCATENATE("R5C",'Mapa final'!$O$36),"")</f>
        <v/>
      </c>
      <c r="AE40" s="52" t="str">
        <f>IF(AND('Mapa final'!$Y$37="Baja",'Mapa final'!$AA$37="Mayor"),CONCATENATE("R5C",'Mapa final'!$O$37),"")</f>
        <v/>
      </c>
      <c r="AF40" s="52" t="str">
        <f>IF(AND('Mapa final'!$Y$38="Baja",'Mapa final'!$AA$38="Mayor"),CONCATENATE("R5C",'Mapa final'!$O$38),"")</f>
        <v/>
      </c>
      <c r="AG40" s="53" t="str">
        <f>IF(AND('Mapa final'!$Y$39="Baja",'Mapa final'!$AA$39="Mayor"),CONCATENATE("R5C",'Mapa final'!$O$39),"")</f>
        <v/>
      </c>
      <c r="AH40" s="54" t="str">
        <f>IF(AND('Mapa final'!$Y$34="Baja",'Mapa final'!$AA$34="Catastrófico"),CONCATENATE("R5C",'Mapa final'!$O$34),"")</f>
        <v/>
      </c>
      <c r="AI40" s="55" t="str">
        <f>IF(AND('Mapa final'!$Y$35="Baja",'Mapa final'!$AA$35="Catastrófico"),CONCATENATE("R5C",'Mapa final'!$O$35),"")</f>
        <v/>
      </c>
      <c r="AJ40" s="55" t="str">
        <f>IF(AND('Mapa final'!$Y$36="Baja",'Mapa final'!$AA$36="Catastrófico"),CONCATENATE("R5C",'Mapa final'!$O$36),"")</f>
        <v/>
      </c>
      <c r="AK40" s="55" t="str">
        <f>IF(AND('Mapa final'!$Y$37="Baja",'Mapa final'!$AA$37="Catastrófico"),CONCATENATE("R5C",'Mapa final'!$O$37),"")</f>
        <v/>
      </c>
      <c r="AL40" s="55" t="str">
        <f>IF(AND('Mapa final'!$Y$38="Baja",'Mapa final'!$AA$38="Catastrófico"),CONCATENATE("R5C",'Mapa final'!$O$38),"")</f>
        <v/>
      </c>
      <c r="AM40" s="56" t="str">
        <f>IF(AND('Mapa final'!$Y$39="Baja",'Mapa final'!$AA$39="Catastrófico"),CONCATENATE("R5C",'Mapa final'!$O$39),"")</f>
        <v/>
      </c>
      <c r="AN40" s="82"/>
      <c r="AO40" s="360"/>
      <c r="AP40" s="361"/>
      <c r="AQ40" s="361"/>
      <c r="AR40" s="361"/>
      <c r="AS40" s="361"/>
      <c r="AT40" s="36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c r="A41" s="82"/>
      <c r="B41" s="288"/>
      <c r="C41" s="288"/>
      <c r="D41" s="289"/>
      <c r="E41" s="329"/>
      <c r="F41" s="330"/>
      <c r="G41" s="330"/>
      <c r="H41" s="330"/>
      <c r="I41" s="330"/>
      <c r="J41" s="75" t="str">
        <f>IF(AND('Mapa final'!$Y$40="Baja",'Mapa final'!$AA$40="Leve"),CONCATENATE("R6C",'Mapa final'!$O$40),"")</f>
        <v/>
      </c>
      <c r="K41" s="76" t="str">
        <f>IF(AND('Mapa final'!$Y$41="Baja",'Mapa final'!$AA$41="Leve"),CONCATENATE("R6C",'Mapa final'!$O$41),"")</f>
        <v/>
      </c>
      <c r="L41" s="76" t="str">
        <f>IF(AND('Mapa final'!$Y$42="Baja",'Mapa final'!$AA$42="Leve"),CONCATENATE("R6C",'Mapa final'!$O$42),"")</f>
        <v/>
      </c>
      <c r="M41" s="76" t="str">
        <f>IF(AND('Mapa final'!$Y$43="Baja",'Mapa final'!$AA$43="Leve"),CONCATENATE("R6C",'Mapa final'!$O$43),"")</f>
        <v/>
      </c>
      <c r="N41" s="76" t="str">
        <f>IF(AND('Mapa final'!$Y$44="Baja",'Mapa final'!$AA$44="Leve"),CONCATENATE("R6C",'Mapa final'!$O$44),"")</f>
        <v/>
      </c>
      <c r="O41" s="77" t="str">
        <f>IF(AND('Mapa final'!$Y$45="Baja",'Mapa final'!$AA$45="Leve"),CONCATENATE("R6C",'Mapa final'!$O$45),"")</f>
        <v/>
      </c>
      <c r="P41" s="66" t="str">
        <f>IF(AND('Mapa final'!$Y$40="Baja",'Mapa final'!$AA$40="Menor"),CONCATENATE("R6C",'Mapa final'!$O$40),"")</f>
        <v/>
      </c>
      <c r="Q41" s="67" t="str">
        <f>IF(AND('Mapa final'!$Y$41="Baja",'Mapa final'!$AA$41="Menor"),CONCATENATE("R6C",'Mapa final'!$O$41),"")</f>
        <v/>
      </c>
      <c r="R41" s="67" t="str">
        <f>IF(AND('Mapa final'!$Y$42="Baja",'Mapa final'!$AA$42="Menor"),CONCATENATE("R6C",'Mapa final'!$O$42),"")</f>
        <v/>
      </c>
      <c r="S41" s="67" t="str">
        <f>IF(AND('Mapa final'!$Y$43="Baja",'Mapa final'!$AA$43="Menor"),CONCATENATE("R6C",'Mapa final'!$O$43),"")</f>
        <v/>
      </c>
      <c r="T41" s="67" t="str">
        <f>IF(AND('Mapa final'!$Y$44="Baja",'Mapa final'!$AA$44="Menor"),CONCATENATE("R6C",'Mapa final'!$O$44),"")</f>
        <v/>
      </c>
      <c r="U41" s="68" t="str">
        <f>IF(AND('Mapa final'!$Y$45="Baja",'Mapa final'!$AA$45="Menor"),CONCATENATE("R6C",'Mapa final'!$O$45),"")</f>
        <v/>
      </c>
      <c r="V41" s="66" t="str">
        <f>IF(AND('Mapa final'!$Y$40="Baja",'Mapa final'!$AA$40="Moderado"),CONCATENATE("R6C",'Mapa final'!$O$40),"")</f>
        <v/>
      </c>
      <c r="W41" s="67" t="str">
        <f>IF(AND('Mapa final'!$Y$41="Baja",'Mapa final'!$AA$41="Moderado"),CONCATENATE("R6C",'Mapa final'!$O$41),"")</f>
        <v/>
      </c>
      <c r="X41" s="67" t="str">
        <f>IF(AND('Mapa final'!$Y$42="Baja",'Mapa final'!$AA$42="Moderado"),CONCATENATE("R6C",'Mapa final'!$O$42),"")</f>
        <v/>
      </c>
      <c r="Y41" s="67" t="str">
        <f>IF(AND('Mapa final'!$Y$43="Baja",'Mapa final'!$AA$43="Moderado"),CONCATENATE("R6C",'Mapa final'!$O$43),"")</f>
        <v/>
      </c>
      <c r="Z41" s="67" t="str">
        <f>IF(AND('Mapa final'!$Y$44="Baja",'Mapa final'!$AA$44="Moderado"),CONCATENATE("R6C",'Mapa final'!$O$44),"")</f>
        <v/>
      </c>
      <c r="AA41" s="68" t="str">
        <f>IF(AND('Mapa final'!$Y$45="Baja",'Mapa final'!$AA$45="Moderado"),CONCATENATE("R6C",'Mapa final'!$O$45),"")</f>
        <v/>
      </c>
      <c r="AB41" s="51" t="str">
        <f>IF(AND('Mapa final'!$Y$40="Baja",'Mapa final'!$AA$40="Mayor"),CONCATENATE("R6C",'Mapa final'!$O$40),"")</f>
        <v/>
      </c>
      <c r="AC41" s="52" t="str">
        <f>IF(AND('Mapa final'!$Y$41="Baja",'Mapa final'!$AA$41="Mayor"),CONCATENATE("R6C",'Mapa final'!$O$41),"")</f>
        <v/>
      </c>
      <c r="AD41" s="52" t="str">
        <f>IF(AND('Mapa final'!$Y$42="Baja",'Mapa final'!$AA$42="Mayor"),CONCATENATE("R6C",'Mapa final'!$O$42),"")</f>
        <v/>
      </c>
      <c r="AE41" s="52" t="str">
        <f>IF(AND('Mapa final'!$Y$43="Baja",'Mapa final'!$AA$43="Mayor"),CONCATENATE("R6C",'Mapa final'!$O$43),"")</f>
        <v/>
      </c>
      <c r="AF41" s="52" t="str">
        <f>IF(AND('Mapa final'!$Y$44="Baja",'Mapa final'!$AA$44="Mayor"),CONCATENATE("R6C",'Mapa final'!$O$44),"")</f>
        <v/>
      </c>
      <c r="AG41" s="53" t="str">
        <f>IF(AND('Mapa final'!$Y$45="Baja",'Mapa final'!$AA$45="Mayor"),CONCATENATE("R6C",'Mapa final'!$O$45),"")</f>
        <v/>
      </c>
      <c r="AH41" s="54" t="str">
        <f>IF(AND('Mapa final'!$Y$40="Baja",'Mapa final'!$AA$40="Catastrófico"),CONCATENATE("R6C",'Mapa final'!$O$40),"")</f>
        <v/>
      </c>
      <c r="AI41" s="55" t="str">
        <f>IF(AND('Mapa final'!$Y$41="Baja",'Mapa final'!$AA$41="Catastrófico"),CONCATENATE("R6C",'Mapa final'!$O$41),"")</f>
        <v/>
      </c>
      <c r="AJ41" s="55" t="str">
        <f>IF(AND('Mapa final'!$Y$42="Baja",'Mapa final'!$AA$42="Catastrófico"),CONCATENATE("R6C",'Mapa final'!$O$42),"")</f>
        <v/>
      </c>
      <c r="AK41" s="55" t="str">
        <f>IF(AND('Mapa final'!$Y$43="Baja",'Mapa final'!$AA$43="Catastrófico"),CONCATENATE("R6C",'Mapa final'!$O$43),"")</f>
        <v/>
      </c>
      <c r="AL41" s="55" t="str">
        <f>IF(AND('Mapa final'!$Y$44="Baja",'Mapa final'!$AA$44="Catastrófico"),CONCATENATE("R6C",'Mapa final'!$O$44),"")</f>
        <v/>
      </c>
      <c r="AM41" s="56" t="str">
        <f>IF(AND('Mapa final'!$Y$45="Baja",'Mapa final'!$AA$45="Catastrófico"),CONCATENATE("R6C",'Mapa final'!$O$45),"")</f>
        <v/>
      </c>
      <c r="AN41" s="82"/>
      <c r="AO41" s="360"/>
      <c r="AP41" s="361"/>
      <c r="AQ41" s="361"/>
      <c r="AR41" s="361"/>
      <c r="AS41" s="361"/>
      <c r="AT41" s="36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c r="A42" s="82"/>
      <c r="B42" s="288"/>
      <c r="C42" s="288"/>
      <c r="D42" s="289"/>
      <c r="E42" s="329"/>
      <c r="F42" s="330"/>
      <c r="G42" s="330"/>
      <c r="H42" s="330"/>
      <c r="I42" s="330"/>
      <c r="J42" s="75" t="str">
        <f>IF(AND('Mapa final'!$Y$46="Baja",'Mapa final'!$AA$46="Leve"),CONCATENATE("R7C",'Mapa final'!$O$46),"")</f>
        <v/>
      </c>
      <c r="K42" s="76" t="str">
        <f>IF(AND('Mapa final'!$Y$47="Baja",'Mapa final'!$AA$47="Leve"),CONCATENATE("R7C",'Mapa final'!$O$47),"")</f>
        <v/>
      </c>
      <c r="L42" s="76" t="str">
        <f>IF(AND('Mapa final'!$Y$48="Baja",'Mapa final'!$AA$48="Leve"),CONCATENATE("R7C",'Mapa final'!$O$48),"")</f>
        <v/>
      </c>
      <c r="M42" s="76" t="str">
        <f>IF(AND('Mapa final'!$Y$49="Baja",'Mapa final'!$AA$49="Leve"),CONCATENATE("R7C",'Mapa final'!$O$49),"")</f>
        <v/>
      </c>
      <c r="N42" s="76" t="str">
        <f>IF(AND('Mapa final'!$Y$50="Baja",'Mapa final'!$AA$50="Leve"),CONCATENATE("R7C",'Mapa final'!$O$50),"")</f>
        <v/>
      </c>
      <c r="O42" s="77" t="str">
        <f>IF(AND('Mapa final'!$Y$51="Baja",'Mapa final'!$AA$51="Leve"),CONCATENATE("R7C",'Mapa final'!$O$51),"")</f>
        <v/>
      </c>
      <c r="P42" s="66" t="str">
        <f>IF(AND('Mapa final'!$Y$46="Baja",'Mapa final'!$AA$46="Menor"),CONCATENATE("R7C",'Mapa final'!$O$46),"")</f>
        <v/>
      </c>
      <c r="Q42" s="67" t="str">
        <f>IF(AND('Mapa final'!$Y$47="Baja",'Mapa final'!$AA$47="Menor"),CONCATENATE("R7C",'Mapa final'!$O$47),"")</f>
        <v/>
      </c>
      <c r="R42" s="67" t="str">
        <f>IF(AND('Mapa final'!$Y$48="Baja",'Mapa final'!$AA$48="Menor"),CONCATENATE("R7C",'Mapa final'!$O$48),"")</f>
        <v/>
      </c>
      <c r="S42" s="67" t="str">
        <f>IF(AND('Mapa final'!$Y$49="Baja",'Mapa final'!$AA$49="Menor"),CONCATENATE("R7C",'Mapa final'!$O$49),"")</f>
        <v/>
      </c>
      <c r="T42" s="67" t="str">
        <f>IF(AND('Mapa final'!$Y$50="Baja",'Mapa final'!$AA$50="Menor"),CONCATENATE("R7C",'Mapa final'!$O$50),"")</f>
        <v/>
      </c>
      <c r="U42" s="68" t="str">
        <f>IF(AND('Mapa final'!$Y$51="Baja",'Mapa final'!$AA$51="Menor"),CONCATENATE("R7C",'Mapa final'!$O$51),"")</f>
        <v/>
      </c>
      <c r="V42" s="66" t="str">
        <f>IF(AND('Mapa final'!$Y$46="Baja",'Mapa final'!$AA$46="Moderado"),CONCATENATE("R7C",'Mapa final'!$O$46),"")</f>
        <v/>
      </c>
      <c r="W42" s="67" t="str">
        <f>IF(AND('Mapa final'!$Y$47="Baja",'Mapa final'!$AA$47="Moderado"),CONCATENATE("R7C",'Mapa final'!$O$47),"")</f>
        <v/>
      </c>
      <c r="X42" s="67" t="str">
        <f>IF(AND('Mapa final'!$Y$48="Baja",'Mapa final'!$AA$48="Moderado"),CONCATENATE("R7C",'Mapa final'!$O$48),"")</f>
        <v/>
      </c>
      <c r="Y42" s="67" t="str">
        <f>IF(AND('Mapa final'!$Y$49="Baja",'Mapa final'!$AA$49="Moderado"),CONCATENATE("R7C",'Mapa final'!$O$49),"")</f>
        <v/>
      </c>
      <c r="Z42" s="67" t="str">
        <f>IF(AND('Mapa final'!$Y$50="Baja",'Mapa final'!$AA$50="Moderado"),CONCATENATE("R7C",'Mapa final'!$O$50),"")</f>
        <v/>
      </c>
      <c r="AA42" s="68" t="str">
        <f>IF(AND('Mapa final'!$Y$51="Baja",'Mapa final'!$AA$51="Moderado"),CONCATENATE("R7C",'Mapa final'!$O$51),"")</f>
        <v/>
      </c>
      <c r="AB42" s="51" t="str">
        <f>IF(AND('Mapa final'!$Y$46="Baja",'Mapa final'!$AA$46="Mayor"),CONCATENATE("R7C",'Mapa final'!$O$46),"")</f>
        <v/>
      </c>
      <c r="AC42" s="52" t="str">
        <f>IF(AND('Mapa final'!$Y$47="Baja",'Mapa final'!$AA$47="Mayor"),CONCATENATE("R7C",'Mapa final'!$O$47),"")</f>
        <v/>
      </c>
      <c r="AD42" s="52" t="str">
        <f>IF(AND('Mapa final'!$Y$48="Baja",'Mapa final'!$AA$48="Mayor"),CONCATENATE("R7C",'Mapa final'!$O$48),"")</f>
        <v/>
      </c>
      <c r="AE42" s="52" t="str">
        <f>IF(AND('Mapa final'!$Y$49="Baja",'Mapa final'!$AA$49="Mayor"),CONCATENATE("R7C",'Mapa final'!$O$49),"")</f>
        <v/>
      </c>
      <c r="AF42" s="52" t="str">
        <f>IF(AND('Mapa final'!$Y$50="Baja",'Mapa final'!$AA$50="Mayor"),CONCATENATE("R7C",'Mapa final'!$O$50),"")</f>
        <v/>
      </c>
      <c r="AG42" s="53" t="str">
        <f>IF(AND('Mapa final'!$Y$51="Baja",'Mapa final'!$AA$51="Mayor"),CONCATENATE("R7C",'Mapa final'!$O$51),"")</f>
        <v/>
      </c>
      <c r="AH42" s="54" t="str">
        <f>IF(AND('Mapa final'!$Y$46="Baja",'Mapa final'!$AA$46="Catastrófico"),CONCATENATE("R7C",'Mapa final'!$O$46),"")</f>
        <v/>
      </c>
      <c r="AI42" s="55" t="str">
        <f>IF(AND('Mapa final'!$Y$47="Baja",'Mapa final'!$AA$47="Catastrófico"),CONCATENATE("R7C",'Mapa final'!$O$47),"")</f>
        <v/>
      </c>
      <c r="AJ42" s="55" t="str">
        <f>IF(AND('Mapa final'!$Y$48="Baja",'Mapa final'!$AA$48="Catastrófico"),CONCATENATE("R7C",'Mapa final'!$O$48),"")</f>
        <v/>
      </c>
      <c r="AK42" s="55" t="str">
        <f>IF(AND('Mapa final'!$Y$49="Baja",'Mapa final'!$AA$49="Catastrófico"),CONCATENATE("R7C",'Mapa final'!$O$49),"")</f>
        <v/>
      </c>
      <c r="AL42" s="55" t="str">
        <f>IF(AND('Mapa final'!$Y$50="Baja",'Mapa final'!$AA$50="Catastrófico"),CONCATENATE("R7C",'Mapa final'!$O$50),"")</f>
        <v/>
      </c>
      <c r="AM42" s="56" t="str">
        <f>IF(AND('Mapa final'!$Y$51="Baja",'Mapa final'!$AA$51="Catastrófico"),CONCATENATE("R7C",'Mapa final'!$O$51),"")</f>
        <v/>
      </c>
      <c r="AN42" s="82"/>
      <c r="AO42" s="360"/>
      <c r="AP42" s="361"/>
      <c r="AQ42" s="361"/>
      <c r="AR42" s="361"/>
      <c r="AS42" s="361"/>
      <c r="AT42" s="36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c r="A43" s="82"/>
      <c r="B43" s="288"/>
      <c r="C43" s="288"/>
      <c r="D43" s="289"/>
      <c r="E43" s="329"/>
      <c r="F43" s="330"/>
      <c r="G43" s="330"/>
      <c r="H43" s="330"/>
      <c r="I43" s="330"/>
      <c r="J43" s="75" t="str">
        <f>IF(AND('Mapa final'!$Y$52="Baja",'Mapa final'!$AA$52="Leve"),CONCATENATE("R8C",'Mapa final'!$O$52),"")</f>
        <v/>
      </c>
      <c r="K43" s="76" t="str">
        <f>IF(AND('Mapa final'!$Y$53="Baja",'Mapa final'!$AA$53="Leve"),CONCATENATE("R8C",'Mapa final'!$O$53),"")</f>
        <v/>
      </c>
      <c r="L43" s="76" t="str">
        <f>IF(AND('Mapa final'!$Y$54="Baja",'Mapa final'!$AA$54="Leve"),CONCATENATE("R8C",'Mapa final'!$O$54),"")</f>
        <v/>
      </c>
      <c r="M43" s="76" t="str">
        <f>IF(AND('Mapa final'!$Y$55="Baja",'Mapa final'!$AA$55="Leve"),CONCATENATE("R8C",'Mapa final'!$O$55),"")</f>
        <v/>
      </c>
      <c r="N43" s="76" t="str">
        <f>IF(AND('Mapa final'!$Y$56="Baja",'Mapa final'!$AA$56="Leve"),CONCATENATE("R8C",'Mapa final'!$O$56),"")</f>
        <v/>
      </c>
      <c r="O43" s="77" t="str">
        <f>IF(AND('Mapa final'!$Y$57="Baja",'Mapa final'!$AA$57="Leve"),CONCATENATE("R8C",'Mapa final'!$O$57),"")</f>
        <v/>
      </c>
      <c r="P43" s="66" t="str">
        <f>IF(AND('Mapa final'!$Y$52="Baja",'Mapa final'!$AA$52="Menor"),CONCATENATE("R8C",'Mapa final'!$O$52),"")</f>
        <v/>
      </c>
      <c r="Q43" s="67" t="str">
        <f>IF(AND('Mapa final'!$Y$53="Baja",'Mapa final'!$AA$53="Menor"),CONCATENATE("R8C",'Mapa final'!$O$53),"")</f>
        <v/>
      </c>
      <c r="R43" s="67" t="str">
        <f>IF(AND('Mapa final'!$Y$54="Baja",'Mapa final'!$AA$54="Menor"),CONCATENATE("R8C",'Mapa final'!$O$54),"")</f>
        <v/>
      </c>
      <c r="S43" s="67" t="str">
        <f>IF(AND('Mapa final'!$Y$55="Baja",'Mapa final'!$AA$55="Menor"),CONCATENATE("R8C",'Mapa final'!$O$55),"")</f>
        <v/>
      </c>
      <c r="T43" s="67" t="str">
        <f>IF(AND('Mapa final'!$Y$56="Baja",'Mapa final'!$AA$56="Menor"),CONCATENATE("R8C",'Mapa final'!$O$56),"")</f>
        <v/>
      </c>
      <c r="U43" s="68" t="str">
        <f>IF(AND('Mapa final'!$Y$57="Baja",'Mapa final'!$AA$57="Menor"),CONCATENATE("R8C",'Mapa final'!$O$57),"")</f>
        <v/>
      </c>
      <c r="V43" s="66" t="str">
        <f>IF(AND('Mapa final'!$Y$52="Baja",'Mapa final'!$AA$52="Moderado"),CONCATENATE("R8C",'Mapa final'!$O$52),"")</f>
        <v/>
      </c>
      <c r="W43" s="67" t="str">
        <f>IF(AND('Mapa final'!$Y$53="Baja",'Mapa final'!$AA$53="Moderado"),CONCATENATE("R8C",'Mapa final'!$O$53),"")</f>
        <v/>
      </c>
      <c r="X43" s="67" t="str">
        <f>IF(AND('Mapa final'!$Y$54="Baja",'Mapa final'!$AA$54="Moderado"),CONCATENATE("R8C",'Mapa final'!$O$54),"")</f>
        <v/>
      </c>
      <c r="Y43" s="67" t="str">
        <f>IF(AND('Mapa final'!$Y$55="Baja",'Mapa final'!$AA$55="Moderado"),CONCATENATE("R8C",'Mapa final'!$O$55),"")</f>
        <v/>
      </c>
      <c r="Z43" s="67" t="str">
        <f>IF(AND('Mapa final'!$Y$56="Baja",'Mapa final'!$AA$56="Moderado"),CONCATENATE("R8C",'Mapa final'!$O$56),"")</f>
        <v/>
      </c>
      <c r="AA43" s="68" t="str">
        <f>IF(AND('Mapa final'!$Y$57="Baja",'Mapa final'!$AA$57="Moderado"),CONCATENATE("R8C",'Mapa final'!$O$57),"")</f>
        <v/>
      </c>
      <c r="AB43" s="51" t="str">
        <f>IF(AND('Mapa final'!$Y$52="Baja",'Mapa final'!$AA$52="Mayor"),CONCATENATE("R8C",'Mapa final'!$O$52),"")</f>
        <v/>
      </c>
      <c r="AC43" s="52" t="str">
        <f>IF(AND('Mapa final'!$Y$53="Baja",'Mapa final'!$AA$53="Mayor"),CONCATENATE("R8C",'Mapa final'!$O$53),"")</f>
        <v/>
      </c>
      <c r="AD43" s="52" t="str">
        <f>IF(AND('Mapa final'!$Y$54="Baja",'Mapa final'!$AA$54="Mayor"),CONCATENATE("R8C",'Mapa final'!$O$54),"")</f>
        <v/>
      </c>
      <c r="AE43" s="52" t="str">
        <f>IF(AND('Mapa final'!$Y$55="Baja",'Mapa final'!$AA$55="Mayor"),CONCATENATE("R8C",'Mapa final'!$O$55),"")</f>
        <v/>
      </c>
      <c r="AF43" s="52" t="str">
        <f>IF(AND('Mapa final'!$Y$56="Baja",'Mapa final'!$AA$56="Mayor"),CONCATENATE("R8C",'Mapa final'!$O$56),"")</f>
        <v/>
      </c>
      <c r="AG43" s="53" t="str">
        <f>IF(AND('Mapa final'!$Y$57="Baja",'Mapa final'!$AA$57="Mayor"),CONCATENATE("R8C",'Mapa final'!$O$57),"")</f>
        <v/>
      </c>
      <c r="AH43" s="54" t="str">
        <f>IF(AND('Mapa final'!$Y$52="Baja",'Mapa final'!$AA$52="Catastrófico"),CONCATENATE("R8C",'Mapa final'!$O$52),"")</f>
        <v/>
      </c>
      <c r="AI43" s="55" t="str">
        <f>IF(AND('Mapa final'!$Y$53="Baja",'Mapa final'!$AA$53="Catastrófico"),CONCATENATE("R8C",'Mapa final'!$O$53),"")</f>
        <v/>
      </c>
      <c r="AJ43" s="55" t="str">
        <f>IF(AND('Mapa final'!$Y$54="Baja",'Mapa final'!$AA$54="Catastrófico"),CONCATENATE("R8C",'Mapa final'!$O$54),"")</f>
        <v/>
      </c>
      <c r="AK43" s="55" t="str">
        <f>IF(AND('Mapa final'!$Y$55="Baja",'Mapa final'!$AA$55="Catastrófico"),CONCATENATE("R8C",'Mapa final'!$O$55),"")</f>
        <v/>
      </c>
      <c r="AL43" s="55" t="str">
        <f>IF(AND('Mapa final'!$Y$56="Baja",'Mapa final'!$AA$56="Catastrófico"),CONCATENATE("R8C",'Mapa final'!$O$56),"")</f>
        <v/>
      </c>
      <c r="AM43" s="56" t="str">
        <f>IF(AND('Mapa final'!$Y$57="Baja",'Mapa final'!$AA$57="Catastrófico"),CONCATENATE("R8C",'Mapa final'!$O$57),"")</f>
        <v/>
      </c>
      <c r="AN43" s="82"/>
      <c r="AO43" s="360"/>
      <c r="AP43" s="361"/>
      <c r="AQ43" s="361"/>
      <c r="AR43" s="361"/>
      <c r="AS43" s="361"/>
      <c r="AT43" s="36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c r="A44" s="82"/>
      <c r="B44" s="288"/>
      <c r="C44" s="288"/>
      <c r="D44" s="289"/>
      <c r="E44" s="329"/>
      <c r="F44" s="330"/>
      <c r="G44" s="330"/>
      <c r="H44" s="330"/>
      <c r="I44" s="330"/>
      <c r="J44" s="75" t="str">
        <f>IF(AND('Mapa final'!$Y$58="Baja",'Mapa final'!$AA$58="Leve"),CONCATENATE("R9C",'Mapa final'!$O$58),"")</f>
        <v/>
      </c>
      <c r="K44" s="76" t="str">
        <f>IF(AND('Mapa final'!$Y$59="Baja",'Mapa final'!$AA$59="Leve"),CONCATENATE("R9C",'Mapa final'!$O$59),"")</f>
        <v/>
      </c>
      <c r="L44" s="76" t="str">
        <f>IF(AND('Mapa final'!$Y$60="Baja",'Mapa final'!$AA$60="Leve"),CONCATENATE("R9C",'Mapa final'!$O$60),"")</f>
        <v/>
      </c>
      <c r="M44" s="76" t="str">
        <f>IF(AND('Mapa final'!$Y$61="Baja",'Mapa final'!$AA$61="Leve"),CONCATENATE("R9C",'Mapa final'!$O$61),"")</f>
        <v/>
      </c>
      <c r="N44" s="76" t="str">
        <f>IF(AND('Mapa final'!$Y$62="Baja",'Mapa final'!$AA$62="Leve"),CONCATENATE("R9C",'Mapa final'!$O$62),"")</f>
        <v/>
      </c>
      <c r="O44" s="77" t="str">
        <f>IF(AND('Mapa final'!$Y$63="Baja",'Mapa final'!$AA$63="Leve"),CONCATENATE("R9C",'Mapa final'!$O$63),"")</f>
        <v/>
      </c>
      <c r="P44" s="66" t="str">
        <f>IF(AND('Mapa final'!$Y$58="Baja",'Mapa final'!$AA$58="Menor"),CONCATENATE("R9C",'Mapa final'!$O$58),"")</f>
        <v/>
      </c>
      <c r="Q44" s="67" t="str">
        <f>IF(AND('Mapa final'!$Y$59="Baja",'Mapa final'!$AA$59="Menor"),CONCATENATE("R9C",'Mapa final'!$O$59),"")</f>
        <v/>
      </c>
      <c r="R44" s="67" t="str">
        <f>IF(AND('Mapa final'!$Y$60="Baja",'Mapa final'!$AA$60="Menor"),CONCATENATE("R9C",'Mapa final'!$O$60),"")</f>
        <v/>
      </c>
      <c r="S44" s="67" t="str">
        <f>IF(AND('Mapa final'!$Y$61="Baja",'Mapa final'!$AA$61="Menor"),CONCATENATE("R9C",'Mapa final'!$O$61),"")</f>
        <v/>
      </c>
      <c r="T44" s="67" t="str">
        <f>IF(AND('Mapa final'!$Y$62="Baja",'Mapa final'!$AA$62="Menor"),CONCATENATE("R9C",'Mapa final'!$O$62),"")</f>
        <v/>
      </c>
      <c r="U44" s="68" t="str">
        <f>IF(AND('Mapa final'!$Y$63="Baja",'Mapa final'!$AA$63="Menor"),CONCATENATE("R9C",'Mapa final'!$O$63),"")</f>
        <v/>
      </c>
      <c r="V44" s="66" t="str">
        <f>IF(AND('Mapa final'!$Y$58="Baja",'Mapa final'!$AA$58="Moderado"),CONCATENATE("R9C",'Mapa final'!$O$58),"")</f>
        <v/>
      </c>
      <c r="W44" s="67" t="str">
        <f>IF(AND('Mapa final'!$Y$59="Baja",'Mapa final'!$AA$59="Moderado"),CONCATENATE("R9C",'Mapa final'!$O$59),"")</f>
        <v/>
      </c>
      <c r="X44" s="67" t="str">
        <f>IF(AND('Mapa final'!$Y$60="Baja",'Mapa final'!$AA$60="Moderado"),CONCATENATE("R9C",'Mapa final'!$O$60),"")</f>
        <v/>
      </c>
      <c r="Y44" s="67" t="str">
        <f>IF(AND('Mapa final'!$Y$61="Baja",'Mapa final'!$AA$61="Moderado"),CONCATENATE("R9C",'Mapa final'!$O$61),"")</f>
        <v/>
      </c>
      <c r="Z44" s="67" t="str">
        <f>IF(AND('Mapa final'!$Y$62="Baja",'Mapa final'!$AA$62="Moderado"),CONCATENATE("R9C",'Mapa final'!$O$62),"")</f>
        <v/>
      </c>
      <c r="AA44" s="68" t="str">
        <f>IF(AND('Mapa final'!$Y$63="Baja",'Mapa final'!$AA$63="Moderado"),CONCATENATE("R9C",'Mapa final'!$O$63),"")</f>
        <v/>
      </c>
      <c r="AB44" s="51" t="str">
        <f>IF(AND('Mapa final'!$Y$58="Baja",'Mapa final'!$AA$58="Mayor"),CONCATENATE("R9C",'Mapa final'!$O$58),"")</f>
        <v/>
      </c>
      <c r="AC44" s="52" t="str">
        <f>IF(AND('Mapa final'!$Y$59="Baja",'Mapa final'!$AA$59="Mayor"),CONCATENATE("R9C",'Mapa final'!$O$59),"")</f>
        <v/>
      </c>
      <c r="AD44" s="52" t="str">
        <f>IF(AND('Mapa final'!$Y$60="Baja",'Mapa final'!$AA$60="Mayor"),CONCATENATE("R9C",'Mapa final'!$O$60),"")</f>
        <v/>
      </c>
      <c r="AE44" s="52" t="str">
        <f>IF(AND('Mapa final'!$Y$61="Baja",'Mapa final'!$AA$61="Mayor"),CONCATENATE("R9C",'Mapa final'!$O$61),"")</f>
        <v/>
      </c>
      <c r="AF44" s="52" t="str">
        <f>IF(AND('Mapa final'!$Y$62="Baja",'Mapa final'!$AA$62="Mayor"),CONCATENATE("R9C",'Mapa final'!$O$62),"")</f>
        <v/>
      </c>
      <c r="AG44" s="53" t="str">
        <f>IF(AND('Mapa final'!$Y$63="Baja",'Mapa final'!$AA$63="Mayor"),CONCATENATE("R9C",'Mapa final'!$O$63),"")</f>
        <v/>
      </c>
      <c r="AH44" s="54" t="str">
        <f>IF(AND('Mapa final'!$Y$58="Baja",'Mapa final'!$AA$58="Catastrófico"),CONCATENATE("R9C",'Mapa final'!$O$58),"")</f>
        <v/>
      </c>
      <c r="AI44" s="55" t="str">
        <f>IF(AND('Mapa final'!$Y$59="Baja",'Mapa final'!$AA$59="Catastrófico"),CONCATENATE("R9C",'Mapa final'!$O$59),"")</f>
        <v/>
      </c>
      <c r="AJ44" s="55" t="str">
        <f>IF(AND('Mapa final'!$Y$60="Baja",'Mapa final'!$AA$60="Catastrófico"),CONCATENATE("R9C",'Mapa final'!$O$60),"")</f>
        <v/>
      </c>
      <c r="AK44" s="55" t="str">
        <f>IF(AND('Mapa final'!$Y$61="Baja",'Mapa final'!$AA$61="Catastrófico"),CONCATENATE("R9C",'Mapa final'!$O$61),"")</f>
        <v/>
      </c>
      <c r="AL44" s="55" t="str">
        <f>IF(AND('Mapa final'!$Y$62="Baja",'Mapa final'!$AA$62="Catastrófico"),CONCATENATE("R9C",'Mapa final'!$O$62),"")</f>
        <v/>
      </c>
      <c r="AM44" s="56" t="str">
        <f>IF(AND('Mapa final'!$Y$63="Baja",'Mapa final'!$AA$63="Catastrófico"),CONCATENATE("R9C",'Mapa final'!$O$63),"")</f>
        <v/>
      </c>
      <c r="AN44" s="82"/>
      <c r="AO44" s="360"/>
      <c r="AP44" s="361"/>
      <c r="AQ44" s="361"/>
      <c r="AR44" s="361"/>
      <c r="AS44" s="361"/>
      <c r="AT44" s="36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c r="A45" s="82"/>
      <c r="B45" s="288"/>
      <c r="C45" s="288"/>
      <c r="D45" s="289"/>
      <c r="E45" s="332"/>
      <c r="F45" s="333"/>
      <c r="G45" s="333"/>
      <c r="H45" s="333"/>
      <c r="I45" s="333"/>
      <c r="J45" s="78" t="str">
        <f>IF(AND('Mapa final'!$Y$64="Baja",'Mapa final'!$AA$64="Leve"),CONCATENATE("R10C",'Mapa final'!$O$64),"")</f>
        <v/>
      </c>
      <c r="K45" s="79" t="str">
        <f>IF(AND('Mapa final'!$Y$65="Baja",'Mapa final'!$AA$65="Leve"),CONCATENATE("R10C",'Mapa final'!$O$65),"")</f>
        <v/>
      </c>
      <c r="L45" s="79" t="str">
        <f>IF(AND('Mapa final'!$Y$66="Baja",'Mapa final'!$AA$66="Leve"),CONCATENATE("R10C",'Mapa final'!$O$66),"")</f>
        <v/>
      </c>
      <c r="M45" s="79" t="str">
        <f>IF(AND('Mapa final'!$Y$67="Baja",'Mapa final'!$AA$67="Leve"),CONCATENATE("R10C",'Mapa final'!$O$67),"")</f>
        <v/>
      </c>
      <c r="N45" s="79" t="str">
        <f>IF(AND('Mapa final'!$Y$68="Baja",'Mapa final'!$AA$68="Leve"),CONCATENATE("R10C",'Mapa final'!$O$68),"")</f>
        <v/>
      </c>
      <c r="O45" s="80" t="str">
        <f>IF(AND('Mapa final'!$Y$69="Baja",'Mapa final'!$AA$69="Leve"),CONCATENATE("R10C",'Mapa final'!$O$69),"")</f>
        <v/>
      </c>
      <c r="P45" s="66" t="str">
        <f>IF(AND('Mapa final'!$Y$64="Baja",'Mapa final'!$AA$64="Menor"),CONCATENATE("R10C",'Mapa final'!$O$64),"")</f>
        <v/>
      </c>
      <c r="Q45" s="67" t="str">
        <f>IF(AND('Mapa final'!$Y$65="Baja",'Mapa final'!$AA$65="Menor"),CONCATENATE("R10C",'Mapa final'!$O$65),"")</f>
        <v/>
      </c>
      <c r="R45" s="67" t="str">
        <f>IF(AND('Mapa final'!$Y$66="Baja",'Mapa final'!$AA$66="Menor"),CONCATENATE("R10C",'Mapa final'!$O$66),"")</f>
        <v/>
      </c>
      <c r="S45" s="67" t="str">
        <f>IF(AND('Mapa final'!$Y$67="Baja",'Mapa final'!$AA$67="Menor"),CONCATENATE("R10C",'Mapa final'!$O$67),"")</f>
        <v/>
      </c>
      <c r="T45" s="67" t="str">
        <f>IF(AND('Mapa final'!$Y$68="Baja",'Mapa final'!$AA$68="Menor"),CONCATENATE("R10C",'Mapa final'!$O$68),"")</f>
        <v/>
      </c>
      <c r="U45" s="68" t="str">
        <f>IF(AND('Mapa final'!$Y$69="Baja",'Mapa final'!$AA$69="Menor"),CONCATENATE("R10C",'Mapa final'!$O$69),"")</f>
        <v/>
      </c>
      <c r="V45" s="69" t="str">
        <f>IF(AND('Mapa final'!$Y$64="Baja",'Mapa final'!$AA$64="Moderado"),CONCATENATE("R10C",'Mapa final'!$O$64),"")</f>
        <v/>
      </c>
      <c r="W45" s="70" t="str">
        <f>IF(AND('Mapa final'!$Y$65="Baja",'Mapa final'!$AA$65="Moderado"),CONCATENATE("R10C",'Mapa final'!$O$65),"")</f>
        <v/>
      </c>
      <c r="X45" s="70" t="str">
        <f>IF(AND('Mapa final'!$Y$66="Baja",'Mapa final'!$AA$66="Moderado"),CONCATENATE("R10C",'Mapa final'!$O$66),"")</f>
        <v/>
      </c>
      <c r="Y45" s="70" t="str">
        <f>IF(AND('Mapa final'!$Y$67="Baja",'Mapa final'!$AA$67="Moderado"),CONCATENATE("R10C",'Mapa final'!$O$67),"")</f>
        <v/>
      </c>
      <c r="Z45" s="70" t="str">
        <f>IF(AND('Mapa final'!$Y$68="Baja",'Mapa final'!$AA$68="Moderado"),CONCATENATE("R10C",'Mapa final'!$O$68),"")</f>
        <v/>
      </c>
      <c r="AA45" s="71" t="str">
        <f>IF(AND('Mapa final'!$Y$69="Baja",'Mapa final'!$AA$69="Moderado"),CONCATENATE("R10C",'Mapa final'!$O$69),"")</f>
        <v/>
      </c>
      <c r="AB45" s="57" t="str">
        <f>IF(AND('Mapa final'!$Y$64="Baja",'Mapa final'!$AA$64="Mayor"),CONCATENATE("R10C",'Mapa final'!$O$64),"")</f>
        <v/>
      </c>
      <c r="AC45" s="58" t="str">
        <f>IF(AND('Mapa final'!$Y$65="Baja",'Mapa final'!$AA$65="Mayor"),CONCATENATE("R10C",'Mapa final'!$O$65),"")</f>
        <v/>
      </c>
      <c r="AD45" s="58" t="str">
        <f>IF(AND('Mapa final'!$Y$66="Baja",'Mapa final'!$AA$66="Mayor"),CONCATENATE("R10C",'Mapa final'!$O$66),"")</f>
        <v/>
      </c>
      <c r="AE45" s="58" t="str">
        <f>IF(AND('Mapa final'!$Y$67="Baja",'Mapa final'!$AA$67="Mayor"),CONCATENATE("R10C",'Mapa final'!$O$67),"")</f>
        <v/>
      </c>
      <c r="AF45" s="58" t="str">
        <f>IF(AND('Mapa final'!$Y$68="Baja",'Mapa final'!$AA$68="Mayor"),CONCATENATE("R10C",'Mapa final'!$O$68),"")</f>
        <v/>
      </c>
      <c r="AG45" s="59" t="str">
        <f>IF(AND('Mapa final'!$Y$69="Baja",'Mapa final'!$AA$69="Mayor"),CONCATENATE("R10C",'Mapa final'!$O$69),"")</f>
        <v/>
      </c>
      <c r="AH45" s="60" t="str">
        <f>IF(AND('Mapa final'!$Y$64="Baja",'Mapa final'!$AA$64="Catastrófico"),CONCATENATE("R10C",'Mapa final'!$O$64),"")</f>
        <v/>
      </c>
      <c r="AI45" s="61" t="str">
        <f>IF(AND('Mapa final'!$Y$65="Baja",'Mapa final'!$AA$65="Catastrófico"),CONCATENATE("R10C",'Mapa final'!$O$65),"")</f>
        <v/>
      </c>
      <c r="AJ45" s="61" t="str">
        <f>IF(AND('Mapa final'!$Y$66="Baja",'Mapa final'!$AA$66="Catastrófico"),CONCATENATE("R10C",'Mapa final'!$O$66),"")</f>
        <v/>
      </c>
      <c r="AK45" s="61" t="str">
        <f>IF(AND('Mapa final'!$Y$67="Baja",'Mapa final'!$AA$67="Catastrófico"),CONCATENATE("R10C",'Mapa final'!$O$67),"")</f>
        <v/>
      </c>
      <c r="AL45" s="61" t="str">
        <f>IF(AND('Mapa final'!$Y$68="Baja",'Mapa final'!$AA$68="Catastrófico"),CONCATENATE("R10C",'Mapa final'!$O$68),"")</f>
        <v/>
      </c>
      <c r="AM45" s="62" t="str">
        <f>IF(AND('Mapa final'!$Y$69="Baja",'Mapa final'!$AA$69="Catastrófico"),CONCATENATE("R10C",'Mapa final'!$O$69),"")</f>
        <v/>
      </c>
      <c r="AN45" s="82"/>
      <c r="AO45" s="363"/>
      <c r="AP45" s="364"/>
      <c r="AQ45" s="364"/>
      <c r="AR45" s="364"/>
      <c r="AS45" s="364"/>
      <c r="AT45" s="365"/>
    </row>
    <row r="46" spans="1:80" ht="46.5" customHeight="1">
      <c r="A46" s="82"/>
      <c r="B46" s="288"/>
      <c r="C46" s="288"/>
      <c r="D46" s="289"/>
      <c r="E46" s="326" t="s">
        <v>175</v>
      </c>
      <c r="F46" s="327"/>
      <c r="G46" s="327"/>
      <c r="H46" s="327"/>
      <c r="I46" s="328"/>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R1C3</v>
      </c>
      <c r="Y46" s="64" t="str">
        <f>IF(AND('Mapa final'!$Y$13="Muy Baja",'Mapa final'!$AA$13="Moderado"),CONCATENATE("R1C",'Mapa final'!$O$13),"")</f>
        <v>R1C4</v>
      </c>
      <c r="Z46" s="64" t="str">
        <f>IF(AND('Mapa final'!$Y$14="Muy Baja",'Mapa final'!$AA$14="Moderado"),CONCATENATE("R1C",'Mapa final'!$O$14),"")</f>
        <v>R1C5</v>
      </c>
      <c r="AA46" s="65" t="str">
        <f>IF(AND('Mapa final'!$Y$15="Muy Baja",'Mapa final'!$AA$15="Moderado"),CONCATENATE("R1C",'Mapa final'!$O$15),"")</f>
        <v>R1C6</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c r="A47" s="82"/>
      <c r="B47" s="288"/>
      <c r="C47" s="288"/>
      <c r="D47" s="289"/>
      <c r="E47" s="345"/>
      <c r="F47" s="330"/>
      <c r="G47" s="330"/>
      <c r="H47" s="330"/>
      <c r="I47" s="331"/>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R2C3</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c r="A48" s="82"/>
      <c r="B48" s="288"/>
      <c r="C48" s="288"/>
      <c r="D48" s="289"/>
      <c r="E48" s="345"/>
      <c r="F48" s="330"/>
      <c r="G48" s="330"/>
      <c r="H48" s="330"/>
      <c r="I48" s="331"/>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c r="A49" s="82"/>
      <c r="B49" s="288"/>
      <c r="C49" s="288"/>
      <c r="D49" s="289"/>
      <c r="E49" s="329"/>
      <c r="F49" s="330"/>
      <c r="G49" s="330"/>
      <c r="H49" s="330"/>
      <c r="I49" s="331"/>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R4C4</v>
      </c>
      <c r="AF49" s="52" t="str">
        <f>IF(AND('Mapa final'!$Y$32="Muy Baja",'Mapa final'!$AA$32="Mayor"),CONCATENATE("R4C",'Mapa final'!$O$32),"")</f>
        <v>R4C5</v>
      </c>
      <c r="AG49" s="53" t="str">
        <f>IF(AND('Mapa final'!$Y$33="Muy Baja",'Mapa final'!$AA$33="Mayor"),CONCATENATE("R4C",'Mapa final'!$O$33),"")</f>
        <v>R4C6</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c r="A50" s="82"/>
      <c r="B50" s="288"/>
      <c r="C50" s="288"/>
      <c r="D50" s="289"/>
      <c r="E50" s="329"/>
      <c r="F50" s="330"/>
      <c r="G50" s="330"/>
      <c r="H50" s="330"/>
      <c r="I50" s="331"/>
      <c r="J50" s="75" t="str">
        <f>IF(AND('Mapa final'!$Y$34="Muy Baja",'Mapa final'!$AA$34="Leve"),CONCATENATE("R5C",'Mapa final'!$O$34),"")</f>
        <v/>
      </c>
      <c r="K50" s="76" t="str">
        <f>IF(AND('Mapa final'!$Y$35="Muy Baja",'Mapa final'!$AA$35="Leve"),CONCATENATE("R5C",'Mapa final'!$O$35),"")</f>
        <v/>
      </c>
      <c r="L50" s="76" t="str">
        <f>IF(AND('Mapa final'!$Y$36="Muy Baja",'Mapa final'!$AA$36="Leve"),CONCATENATE("R5C",'Mapa final'!$O$36),"")</f>
        <v/>
      </c>
      <c r="M50" s="76" t="str">
        <f>IF(AND('Mapa final'!$Y$37="Muy Baja",'Mapa final'!$AA$37="Leve"),CONCATENATE("R5C",'Mapa final'!$O$37),"")</f>
        <v/>
      </c>
      <c r="N50" s="76" t="str">
        <f>IF(AND('Mapa final'!$Y$38="Muy Baja",'Mapa final'!$AA$38="Leve"),CONCATENATE("R5C",'Mapa final'!$O$38),"")</f>
        <v/>
      </c>
      <c r="O50" s="77" t="str">
        <f>IF(AND('Mapa final'!$Y$39="Muy Baja",'Mapa final'!$AA$39="Leve"),CONCATENATE("R5C",'Mapa final'!$O$39),"")</f>
        <v/>
      </c>
      <c r="P50" s="75" t="str">
        <f>IF(AND('Mapa final'!$Y$34="Muy Baja",'Mapa final'!$AA$34="Menor"),CONCATENATE("R5C",'Mapa final'!$O$34),"")</f>
        <v/>
      </c>
      <c r="Q50" s="76" t="str">
        <f>IF(AND('Mapa final'!$Y$35="Muy Baja",'Mapa final'!$AA$35="Menor"),CONCATENATE("R5C",'Mapa final'!$O$35),"")</f>
        <v/>
      </c>
      <c r="R50" s="76" t="str">
        <f>IF(AND('Mapa final'!$Y$36="Muy Baja",'Mapa final'!$AA$36="Menor"),CONCATENATE("R5C",'Mapa final'!$O$36),"")</f>
        <v/>
      </c>
      <c r="S50" s="76" t="str">
        <f>IF(AND('Mapa final'!$Y$37="Muy Baja",'Mapa final'!$AA$37="Menor"),CONCATENATE("R5C",'Mapa final'!$O$37),"")</f>
        <v/>
      </c>
      <c r="T50" s="76" t="str">
        <f>IF(AND('Mapa final'!$Y$38="Muy Baja",'Mapa final'!$AA$38="Menor"),CONCATENATE("R5C",'Mapa final'!$O$38),"")</f>
        <v/>
      </c>
      <c r="U50" s="77" t="str">
        <f>IF(AND('Mapa final'!$Y$39="Muy Baja",'Mapa final'!$AA$39="Menor"),CONCATENATE("R5C",'Mapa final'!$O$39),"")</f>
        <v/>
      </c>
      <c r="V50" s="66" t="str">
        <f>IF(AND('Mapa final'!$Y$34="Muy Baja",'Mapa final'!$AA$34="Moderado"),CONCATENATE("R5C",'Mapa final'!$O$34),"")</f>
        <v/>
      </c>
      <c r="W50" s="67" t="str">
        <f>IF(AND('Mapa final'!$Y$35="Muy Baja",'Mapa final'!$AA$35="Moderado"),CONCATENATE("R5C",'Mapa final'!$O$35),"")</f>
        <v/>
      </c>
      <c r="X50" s="67" t="str">
        <f>IF(AND('Mapa final'!$Y$36="Muy Baja",'Mapa final'!$AA$36="Moderado"),CONCATENATE("R5C",'Mapa final'!$O$36),"")</f>
        <v/>
      </c>
      <c r="Y50" s="67" t="str">
        <f>IF(AND('Mapa final'!$Y$37="Muy Baja",'Mapa final'!$AA$37="Moderado"),CONCATENATE("R5C",'Mapa final'!$O$37),"")</f>
        <v/>
      </c>
      <c r="Z50" s="67" t="str">
        <f>IF(AND('Mapa final'!$Y$38="Muy Baja",'Mapa final'!$AA$38="Moderado"),CONCATENATE("R5C",'Mapa final'!$O$38),"")</f>
        <v/>
      </c>
      <c r="AA50" s="68" t="str">
        <f>IF(AND('Mapa final'!$Y$39="Muy Baja",'Mapa final'!$AA$39="Moderado"),CONCATENATE("R5C",'Mapa final'!$O$39),"")</f>
        <v/>
      </c>
      <c r="AB50" s="51" t="str">
        <f>IF(AND('Mapa final'!$Y$34="Muy Baja",'Mapa final'!$AA$34="Mayor"),CONCATENATE("R5C",'Mapa final'!$O$34),"")</f>
        <v/>
      </c>
      <c r="AC50" s="52" t="str">
        <f>IF(AND('Mapa final'!$Y$35="Muy Baja",'Mapa final'!$AA$35="Mayor"),CONCATENATE("R5C",'Mapa final'!$O$35),"")</f>
        <v/>
      </c>
      <c r="AD50" s="52" t="str">
        <f>IF(AND('Mapa final'!$Y$36="Muy Baja",'Mapa final'!$AA$36="Mayor"),CONCATENATE("R5C",'Mapa final'!$O$36),"")</f>
        <v/>
      </c>
      <c r="AE50" s="52" t="str">
        <f>IF(AND('Mapa final'!$Y$37="Muy Baja",'Mapa final'!$AA$37="Mayor"),CONCATENATE("R5C",'Mapa final'!$O$37),"")</f>
        <v/>
      </c>
      <c r="AF50" s="52" t="str">
        <f>IF(AND('Mapa final'!$Y$38="Muy Baja",'Mapa final'!$AA$38="Mayor"),CONCATENATE("R5C",'Mapa final'!$O$38),"")</f>
        <v/>
      </c>
      <c r="AG50" s="53" t="str">
        <f>IF(AND('Mapa final'!$Y$39="Muy Baja",'Mapa final'!$AA$39="Mayor"),CONCATENATE("R5C",'Mapa final'!$O$39),"")</f>
        <v/>
      </c>
      <c r="AH50" s="54" t="str">
        <f>IF(AND('Mapa final'!$Y$34="Muy Baja",'Mapa final'!$AA$34="Catastrófico"),CONCATENATE("R5C",'Mapa final'!$O$34),"")</f>
        <v/>
      </c>
      <c r="AI50" s="55" t="str">
        <f>IF(AND('Mapa final'!$Y$35="Muy Baja",'Mapa final'!$AA$35="Catastrófico"),CONCATENATE("R5C",'Mapa final'!$O$35),"")</f>
        <v/>
      </c>
      <c r="AJ50" s="55" t="str">
        <f>IF(AND('Mapa final'!$Y$36="Muy Baja",'Mapa final'!$AA$36="Catastrófico"),CONCATENATE("R5C",'Mapa final'!$O$36),"")</f>
        <v/>
      </c>
      <c r="AK50" s="55" t="str">
        <f>IF(AND('Mapa final'!$Y$37="Muy Baja",'Mapa final'!$AA$37="Catastrófico"),CONCATENATE("R5C",'Mapa final'!$O$37),"")</f>
        <v/>
      </c>
      <c r="AL50" s="55" t="str">
        <f>IF(AND('Mapa final'!$Y$38="Muy Baja",'Mapa final'!$AA$38="Catastrófico"),CONCATENATE("R5C",'Mapa final'!$O$38),"")</f>
        <v/>
      </c>
      <c r="AM50" s="56" t="str">
        <f>IF(AND('Mapa final'!$Y$39="Muy Baja",'Mapa final'!$AA$39="Catastrófico"),CONCATENATE("R5C",'Mapa final'!$O$39),"")</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c r="A51" s="82"/>
      <c r="B51" s="288"/>
      <c r="C51" s="288"/>
      <c r="D51" s="289"/>
      <c r="E51" s="329"/>
      <c r="F51" s="330"/>
      <c r="G51" s="330"/>
      <c r="H51" s="330"/>
      <c r="I51" s="331"/>
      <c r="J51" s="75" t="str">
        <f>IF(AND('Mapa final'!$Y$40="Muy Baja",'Mapa final'!$AA$40="Leve"),CONCATENATE("R6C",'Mapa final'!$O$40),"")</f>
        <v/>
      </c>
      <c r="K51" s="76" t="str">
        <f>IF(AND('Mapa final'!$Y$41="Muy Baja",'Mapa final'!$AA$41="Leve"),CONCATENATE("R6C",'Mapa final'!$O$41),"")</f>
        <v/>
      </c>
      <c r="L51" s="76" t="str">
        <f>IF(AND('Mapa final'!$Y$42="Muy Baja",'Mapa final'!$AA$42="Leve"),CONCATENATE("R6C",'Mapa final'!$O$42),"")</f>
        <v/>
      </c>
      <c r="M51" s="76" t="str">
        <f>IF(AND('Mapa final'!$Y$43="Muy Baja",'Mapa final'!$AA$43="Leve"),CONCATENATE("R6C",'Mapa final'!$O$43),"")</f>
        <v/>
      </c>
      <c r="N51" s="76" t="str">
        <f>IF(AND('Mapa final'!$Y$44="Muy Baja",'Mapa final'!$AA$44="Leve"),CONCATENATE("R6C",'Mapa final'!$O$44),"")</f>
        <v/>
      </c>
      <c r="O51" s="77" t="str">
        <f>IF(AND('Mapa final'!$Y$45="Muy Baja",'Mapa final'!$AA$45="Leve"),CONCATENATE("R6C",'Mapa final'!$O$45),"")</f>
        <v/>
      </c>
      <c r="P51" s="75" t="str">
        <f>IF(AND('Mapa final'!$Y$40="Muy Baja",'Mapa final'!$AA$40="Menor"),CONCATENATE("R6C",'Mapa final'!$O$40),"")</f>
        <v/>
      </c>
      <c r="Q51" s="76" t="str">
        <f>IF(AND('Mapa final'!$Y$41="Muy Baja",'Mapa final'!$AA$41="Menor"),CONCATENATE("R6C",'Mapa final'!$O$41),"")</f>
        <v/>
      </c>
      <c r="R51" s="76" t="str">
        <f>IF(AND('Mapa final'!$Y$42="Muy Baja",'Mapa final'!$AA$42="Menor"),CONCATENATE("R6C",'Mapa final'!$O$42),"")</f>
        <v/>
      </c>
      <c r="S51" s="76" t="str">
        <f>IF(AND('Mapa final'!$Y$43="Muy Baja",'Mapa final'!$AA$43="Menor"),CONCATENATE("R6C",'Mapa final'!$O$43),"")</f>
        <v/>
      </c>
      <c r="T51" s="76" t="str">
        <f>IF(AND('Mapa final'!$Y$44="Muy Baja",'Mapa final'!$AA$44="Menor"),CONCATENATE("R6C",'Mapa final'!$O$44),"")</f>
        <v/>
      </c>
      <c r="U51" s="77" t="str">
        <f>IF(AND('Mapa final'!$Y$45="Muy Baja",'Mapa final'!$AA$45="Menor"),CONCATENATE("R6C",'Mapa final'!$O$45),"")</f>
        <v/>
      </c>
      <c r="V51" s="66" t="str">
        <f>IF(AND('Mapa final'!$Y$40="Muy Baja",'Mapa final'!$AA$40="Moderado"),CONCATENATE("R6C",'Mapa final'!$O$40),"")</f>
        <v/>
      </c>
      <c r="W51" s="67" t="str">
        <f>IF(AND('Mapa final'!$Y$41="Muy Baja",'Mapa final'!$AA$41="Moderado"),CONCATENATE("R6C",'Mapa final'!$O$41),"")</f>
        <v/>
      </c>
      <c r="X51" s="67" t="str">
        <f>IF(AND('Mapa final'!$Y$42="Muy Baja",'Mapa final'!$AA$42="Moderado"),CONCATENATE("R6C",'Mapa final'!$O$42),"")</f>
        <v/>
      </c>
      <c r="Y51" s="67" t="str">
        <f>IF(AND('Mapa final'!$Y$43="Muy Baja",'Mapa final'!$AA$43="Moderado"),CONCATENATE("R6C",'Mapa final'!$O$43),"")</f>
        <v/>
      </c>
      <c r="Z51" s="67" t="str">
        <f>IF(AND('Mapa final'!$Y$44="Muy Baja",'Mapa final'!$AA$44="Moderado"),CONCATENATE("R6C",'Mapa final'!$O$44),"")</f>
        <v/>
      </c>
      <c r="AA51" s="68" t="str">
        <f>IF(AND('Mapa final'!$Y$45="Muy Baja",'Mapa final'!$AA$45="Moderado"),CONCATENATE("R6C",'Mapa final'!$O$45),"")</f>
        <v/>
      </c>
      <c r="AB51" s="51" t="str">
        <f>IF(AND('Mapa final'!$Y$40="Muy Baja",'Mapa final'!$AA$40="Mayor"),CONCATENATE("R6C",'Mapa final'!$O$40),"")</f>
        <v/>
      </c>
      <c r="AC51" s="52" t="str">
        <f>IF(AND('Mapa final'!$Y$41="Muy Baja",'Mapa final'!$AA$41="Mayor"),CONCATENATE("R6C",'Mapa final'!$O$41),"")</f>
        <v/>
      </c>
      <c r="AD51" s="52" t="str">
        <f>IF(AND('Mapa final'!$Y$42="Muy Baja",'Mapa final'!$AA$42="Mayor"),CONCATENATE("R6C",'Mapa final'!$O$42),"")</f>
        <v/>
      </c>
      <c r="AE51" s="52" t="str">
        <f>IF(AND('Mapa final'!$Y$43="Muy Baja",'Mapa final'!$AA$43="Mayor"),CONCATENATE("R6C",'Mapa final'!$O$43),"")</f>
        <v/>
      </c>
      <c r="AF51" s="52" t="str">
        <f>IF(AND('Mapa final'!$Y$44="Muy Baja",'Mapa final'!$AA$44="Mayor"),CONCATENATE("R6C",'Mapa final'!$O$44),"")</f>
        <v/>
      </c>
      <c r="AG51" s="53" t="str">
        <f>IF(AND('Mapa final'!$Y$45="Muy Baja",'Mapa final'!$AA$45="Mayor"),CONCATENATE("R6C",'Mapa final'!$O$45),"")</f>
        <v/>
      </c>
      <c r="AH51" s="54" t="str">
        <f>IF(AND('Mapa final'!$Y$40="Muy Baja",'Mapa final'!$AA$40="Catastrófico"),CONCATENATE("R6C",'Mapa final'!$O$40),"")</f>
        <v/>
      </c>
      <c r="AI51" s="55" t="str">
        <f>IF(AND('Mapa final'!$Y$41="Muy Baja",'Mapa final'!$AA$41="Catastrófico"),CONCATENATE("R6C",'Mapa final'!$O$41),"")</f>
        <v/>
      </c>
      <c r="AJ51" s="55" t="str">
        <f>IF(AND('Mapa final'!$Y$42="Muy Baja",'Mapa final'!$AA$42="Catastrófico"),CONCATENATE("R6C",'Mapa final'!$O$42),"")</f>
        <v/>
      </c>
      <c r="AK51" s="55" t="str">
        <f>IF(AND('Mapa final'!$Y$43="Muy Baja",'Mapa final'!$AA$43="Catastrófico"),CONCATENATE("R6C",'Mapa final'!$O$43),"")</f>
        <v/>
      </c>
      <c r="AL51" s="55" t="str">
        <f>IF(AND('Mapa final'!$Y$44="Muy Baja",'Mapa final'!$AA$44="Catastrófico"),CONCATENATE("R6C",'Mapa final'!$O$44),"")</f>
        <v/>
      </c>
      <c r="AM51" s="56" t="str">
        <f>IF(AND('Mapa final'!$Y$45="Muy Baja",'Mapa final'!$AA$45="Catastrófico"),CONCATENATE("R6C",'Mapa final'!$O$45),"")</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c r="A52" s="82"/>
      <c r="B52" s="288"/>
      <c r="C52" s="288"/>
      <c r="D52" s="289"/>
      <c r="E52" s="329"/>
      <c r="F52" s="330"/>
      <c r="G52" s="330"/>
      <c r="H52" s="330"/>
      <c r="I52" s="331"/>
      <c r="J52" s="75" t="str">
        <f>IF(AND('Mapa final'!$Y$46="Muy Baja",'Mapa final'!$AA$46="Leve"),CONCATENATE("R7C",'Mapa final'!$O$46),"")</f>
        <v/>
      </c>
      <c r="K52" s="76" t="str">
        <f>IF(AND('Mapa final'!$Y$47="Muy Baja",'Mapa final'!$AA$47="Leve"),CONCATENATE("R7C",'Mapa final'!$O$47),"")</f>
        <v/>
      </c>
      <c r="L52" s="76" t="str">
        <f>IF(AND('Mapa final'!$Y$48="Muy Baja",'Mapa final'!$AA$48="Leve"),CONCATENATE("R7C",'Mapa final'!$O$48),"")</f>
        <v/>
      </c>
      <c r="M52" s="76" t="str">
        <f>IF(AND('Mapa final'!$Y$49="Muy Baja",'Mapa final'!$AA$49="Leve"),CONCATENATE("R7C",'Mapa final'!$O$49),"")</f>
        <v/>
      </c>
      <c r="N52" s="76" t="str">
        <f>IF(AND('Mapa final'!$Y$50="Muy Baja",'Mapa final'!$AA$50="Leve"),CONCATENATE("R7C",'Mapa final'!$O$50),"")</f>
        <v/>
      </c>
      <c r="O52" s="77" t="str">
        <f>IF(AND('Mapa final'!$Y$51="Muy Baja",'Mapa final'!$AA$51="Leve"),CONCATENATE("R7C",'Mapa final'!$O$51),"")</f>
        <v/>
      </c>
      <c r="P52" s="75" t="str">
        <f>IF(AND('Mapa final'!$Y$46="Muy Baja",'Mapa final'!$AA$46="Menor"),CONCATENATE("R7C",'Mapa final'!$O$46),"")</f>
        <v/>
      </c>
      <c r="Q52" s="76" t="str">
        <f>IF(AND('Mapa final'!$Y$47="Muy Baja",'Mapa final'!$AA$47="Menor"),CONCATENATE("R7C",'Mapa final'!$O$47),"")</f>
        <v/>
      </c>
      <c r="R52" s="76" t="str">
        <f>IF(AND('Mapa final'!$Y$48="Muy Baja",'Mapa final'!$AA$48="Menor"),CONCATENATE("R7C",'Mapa final'!$O$48),"")</f>
        <v/>
      </c>
      <c r="S52" s="76" t="str">
        <f>IF(AND('Mapa final'!$Y$49="Muy Baja",'Mapa final'!$AA$49="Menor"),CONCATENATE("R7C",'Mapa final'!$O$49),"")</f>
        <v/>
      </c>
      <c r="T52" s="76" t="str">
        <f>IF(AND('Mapa final'!$Y$50="Muy Baja",'Mapa final'!$AA$50="Menor"),CONCATENATE("R7C",'Mapa final'!$O$50),"")</f>
        <v/>
      </c>
      <c r="U52" s="77" t="str">
        <f>IF(AND('Mapa final'!$Y$51="Muy Baja",'Mapa final'!$AA$51="Menor"),CONCATENATE("R7C",'Mapa final'!$O$51),"")</f>
        <v/>
      </c>
      <c r="V52" s="66" t="str">
        <f>IF(AND('Mapa final'!$Y$46="Muy Baja",'Mapa final'!$AA$46="Moderado"),CONCATENATE("R7C",'Mapa final'!$O$46),"")</f>
        <v/>
      </c>
      <c r="W52" s="67" t="str">
        <f>IF(AND('Mapa final'!$Y$47="Muy Baja",'Mapa final'!$AA$47="Moderado"),CONCATENATE("R7C",'Mapa final'!$O$47),"")</f>
        <v/>
      </c>
      <c r="X52" s="67" t="str">
        <f>IF(AND('Mapa final'!$Y$48="Muy Baja",'Mapa final'!$AA$48="Moderado"),CONCATENATE("R7C",'Mapa final'!$O$48),"")</f>
        <v/>
      </c>
      <c r="Y52" s="67" t="str">
        <f>IF(AND('Mapa final'!$Y$49="Muy Baja",'Mapa final'!$AA$49="Moderado"),CONCATENATE("R7C",'Mapa final'!$O$49),"")</f>
        <v/>
      </c>
      <c r="Z52" s="67" t="str">
        <f>IF(AND('Mapa final'!$Y$50="Muy Baja",'Mapa final'!$AA$50="Moderado"),CONCATENATE("R7C",'Mapa final'!$O$50),"")</f>
        <v/>
      </c>
      <c r="AA52" s="68" t="str">
        <f>IF(AND('Mapa final'!$Y$51="Muy Baja",'Mapa final'!$AA$51="Moderado"),CONCATENATE("R7C",'Mapa final'!$O$51),"")</f>
        <v/>
      </c>
      <c r="AB52" s="51" t="str">
        <f>IF(AND('Mapa final'!$Y$46="Muy Baja",'Mapa final'!$AA$46="Mayor"),CONCATENATE("R7C",'Mapa final'!$O$46),"")</f>
        <v/>
      </c>
      <c r="AC52" s="52" t="str">
        <f>IF(AND('Mapa final'!$Y$47="Muy Baja",'Mapa final'!$AA$47="Mayor"),CONCATENATE("R7C",'Mapa final'!$O$47),"")</f>
        <v/>
      </c>
      <c r="AD52" s="52" t="str">
        <f>IF(AND('Mapa final'!$Y$48="Muy Baja",'Mapa final'!$AA$48="Mayor"),CONCATENATE("R7C",'Mapa final'!$O$48),"")</f>
        <v/>
      </c>
      <c r="AE52" s="52" t="str">
        <f>IF(AND('Mapa final'!$Y$49="Muy Baja",'Mapa final'!$AA$49="Mayor"),CONCATENATE("R7C",'Mapa final'!$O$49),"")</f>
        <v/>
      </c>
      <c r="AF52" s="52" t="str">
        <f>IF(AND('Mapa final'!$Y$50="Muy Baja",'Mapa final'!$AA$50="Mayor"),CONCATENATE("R7C",'Mapa final'!$O$50),"")</f>
        <v/>
      </c>
      <c r="AG52" s="53" t="str">
        <f>IF(AND('Mapa final'!$Y$51="Muy Baja",'Mapa final'!$AA$51="Mayor"),CONCATENATE("R7C",'Mapa final'!$O$51),"")</f>
        <v/>
      </c>
      <c r="AH52" s="54" t="str">
        <f>IF(AND('Mapa final'!$Y$46="Muy Baja",'Mapa final'!$AA$46="Catastrófico"),CONCATENATE("R7C",'Mapa final'!$O$46),"")</f>
        <v/>
      </c>
      <c r="AI52" s="55" t="str">
        <f>IF(AND('Mapa final'!$Y$47="Muy Baja",'Mapa final'!$AA$47="Catastrófico"),CONCATENATE("R7C",'Mapa final'!$O$47),"")</f>
        <v/>
      </c>
      <c r="AJ52" s="55" t="str">
        <f>IF(AND('Mapa final'!$Y$48="Muy Baja",'Mapa final'!$AA$48="Catastrófico"),CONCATENATE("R7C",'Mapa final'!$O$48),"")</f>
        <v/>
      </c>
      <c r="AK52" s="55" t="str">
        <f>IF(AND('Mapa final'!$Y$49="Muy Baja",'Mapa final'!$AA$49="Catastrófico"),CONCATENATE("R7C",'Mapa final'!$O$49),"")</f>
        <v/>
      </c>
      <c r="AL52" s="55" t="str">
        <f>IF(AND('Mapa final'!$Y$50="Muy Baja",'Mapa final'!$AA$50="Catastrófico"),CONCATENATE("R7C",'Mapa final'!$O$50),"")</f>
        <v/>
      </c>
      <c r="AM52" s="56" t="str">
        <f>IF(AND('Mapa final'!$Y$51="Muy Baja",'Mapa final'!$AA$51="Catastrófico"),CONCATENATE("R7C",'Mapa final'!$O$51),"")</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c r="A53" s="82"/>
      <c r="B53" s="288"/>
      <c r="C53" s="288"/>
      <c r="D53" s="289"/>
      <c r="E53" s="329"/>
      <c r="F53" s="330"/>
      <c r="G53" s="330"/>
      <c r="H53" s="330"/>
      <c r="I53" s="331"/>
      <c r="J53" s="75" t="str">
        <f>IF(AND('Mapa final'!$Y$52="Muy Baja",'Mapa final'!$AA$52="Leve"),CONCATENATE("R8C",'Mapa final'!$O$52),"")</f>
        <v/>
      </c>
      <c r="K53" s="76" t="str">
        <f>IF(AND('Mapa final'!$Y$53="Muy Baja",'Mapa final'!$AA$53="Leve"),CONCATENATE("R8C",'Mapa final'!$O$53),"")</f>
        <v/>
      </c>
      <c r="L53" s="76" t="str">
        <f>IF(AND('Mapa final'!$Y$54="Muy Baja",'Mapa final'!$AA$54="Leve"),CONCATENATE("R8C",'Mapa final'!$O$54),"")</f>
        <v/>
      </c>
      <c r="M53" s="76" t="str">
        <f>IF(AND('Mapa final'!$Y$55="Muy Baja",'Mapa final'!$AA$55="Leve"),CONCATENATE("R8C",'Mapa final'!$O$55),"")</f>
        <v/>
      </c>
      <c r="N53" s="76" t="str">
        <f>IF(AND('Mapa final'!$Y$56="Muy Baja",'Mapa final'!$AA$56="Leve"),CONCATENATE("R8C",'Mapa final'!$O$56),"")</f>
        <v/>
      </c>
      <c r="O53" s="77" t="str">
        <f>IF(AND('Mapa final'!$Y$57="Muy Baja",'Mapa final'!$AA$57="Leve"),CONCATENATE("R8C",'Mapa final'!$O$57),"")</f>
        <v/>
      </c>
      <c r="P53" s="75" t="str">
        <f>IF(AND('Mapa final'!$Y$52="Muy Baja",'Mapa final'!$AA$52="Menor"),CONCATENATE("R8C",'Mapa final'!$O$52),"")</f>
        <v/>
      </c>
      <c r="Q53" s="76" t="str">
        <f>IF(AND('Mapa final'!$Y$53="Muy Baja",'Mapa final'!$AA$53="Menor"),CONCATENATE("R8C",'Mapa final'!$O$53),"")</f>
        <v/>
      </c>
      <c r="R53" s="76" t="str">
        <f>IF(AND('Mapa final'!$Y$54="Muy Baja",'Mapa final'!$AA$54="Menor"),CONCATENATE("R8C",'Mapa final'!$O$54),"")</f>
        <v/>
      </c>
      <c r="S53" s="76" t="str">
        <f>IF(AND('Mapa final'!$Y$55="Muy Baja",'Mapa final'!$AA$55="Menor"),CONCATENATE("R8C",'Mapa final'!$O$55),"")</f>
        <v/>
      </c>
      <c r="T53" s="76" t="str">
        <f>IF(AND('Mapa final'!$Y$56="Muy Baja",'Mapa final'!$AA$56="Menor"),CONCATENATE("R8C",'Mapa final'!$O$56),"")</f>
        <v/>
      </c>
      <c r="U53" s="77" t="str">
        <f>IF(AND('Mapa final'!$Y$57="Muy Baja",'Mapa final'!$AA$57="Menor"),CONCATENATE("R8C",'Mapa final'!$O$57),"")</f>
        <v/>
      </c>
      <c r="V53" s="66" t="str">
        <f>IF(AND('Mapa final'!$Y$52="Muy Baja",'Mapa final'!$AA$52="Moderado"),CONCATENATE("R8C",'Mapa final'!$O$52),"")</f>
        <v/>
      </c>
      <c r="W53" s="67" t="str">
        <f>IF(AND('Mapa final'!$Y$53="Muy Baja",'Mapa final'!$AA$53="Moderado"),CONCATENATE("R8C",'Mapa final'!$O$53),"")</f>
        <v/>
      </c>
      <c r="X53" s="67" t="str">
        <f>IF(AND('Mapa final'!$Y$54="Muy Baja",'Mapa final'!$AA$54="Moderado"),CONCATENATE("R8C",'Mapa final'!$O$54),"")</f>
        <v/>
      </c>
      <c r="Y53" s="67" t="str">
        <f>IF(AND('Mapa final'!$Y$55="Muy Baja",'Mapa final'!$AA$55="Moderado"),CONCATENATE("R8C",'Mapa final'!$O$55),"")</f>
        <v/>
      </c>
      <c r="Z53" s="67" t="str">
        <f>IF(AND('Mapa final'!$Y$56="Muy Baja",'Mapa final'!$AA$56="Moderado"),CONCATENATE("R8C",'Mapa final'!$O$56),"")</f>
        <v/>
      </c>
      <c r="AA53" s="68" t="str">
        <f>IF(AND('Mapa final'!$Y$57="Muy Baja",'Mapa final'!$AA$57="Moderado"),CONCATENATE("R8C",'Mapa final'!$O$57),"")</f>
        <v/>
      </c>
      <c r="AB53" s="51" t="str">
        <f>IF(AND('Mapa final'!$Y$52="Muy Baja",'Mapa final'!$AA$52="Mayor"),CONCATENATE("R8C",'Mapa final'!$O$52),"")</f>
        <v/>
      </c>
      <c r="AC53" s="52" t="str">
        <f>IF(AND('Mapa final'!$Y$53="Muy Baja",'Mapa final'!$AA$53="Mayor"),CONCATENATE("R8C",'Mapa final'!$O$53),"")</f>
        <v/>
      </c>
      <c r="AD53" s="52" t="str">
        <f>IF(AND('Mapa final'!$Y$54="Muy Baja",'Mapa final'!$AA$54="Mayor"),CONCATENATE("R8C",'Mapa final'!$O$54),"")</f>
        <v/>
      </c>
      <c r="AE53" s="52" t="str">
        <f>IF(AND('Mapa final'!$Y$55="Muy Baja",'Mapa final'!$AA$55="Mayor"),CONCATENATE("R8C",'Mapa final'!$O$55),"")</f>
        <v/>
      </c>
      <c r="AF53" s="52" t="str">
        <f>IF(AND('Mapa final'!$Y$56="Muy Baja",'Mapa final'!$AA$56="Mayor"),CONCATENATE("R8C",'Mapa final'!$O$56),"")</f>
        <v/>
      </c>
      <c r="AG53" s="53" t="str">
        <f>IF(AND('Mapa final'!$Y$57="Muy Baja",'Mapa final'!$AA$57="Mayor"),CONCATENATE("R8C",'Mapa final'!$O$57),"")</f>
        <v/>
      </c>
      <c r="AH53" s="54" t="str">
        <f>IF(AND('Mapa final'!$Y$52="Muy Baja",'Mapa final'!$AA$52="Catastrófico"),CONCATENATE("R8C",'Mapa final'!$O$52),"")</f>
        <v/>
      </c>
      <c r="AI53" s="55" t="str">
        <f>IF(AND('Mapa final'!$Y$53="Muy Baja",'Mapa final'!$AA$53="Catastrófico"),CONCATENATE("R8C",'Mapa final'!$O$53),"")</f>
        <v/>
      </c>
      <c r="AJ53" s="55" t="str">
        <f>IF(AND('Mapa final'!$Y$54="Muy Baja",'Mapa final'!$AA$54="Catastrófico"),CONCATENATE("R8C",'Mapa final'!$O$54),"")</f>
        <v/>
      </c>
      <c r="AK53" s="55" t="str">
        <f>IF(AND('Mapa final'!$Y$55="Muy Baja",'Mapa final'!$AA$55="Catastrófico"),CONCATENATE("R8C",'Mapa final'!$O$55),"")</f>
        <v/>
      </c>
      <c r="AL53" s="55" t="str">
        <f>IF(AND('Mapa final'!$Y$56="Muy Baja",'Mapa final'!$AA$56="Catastrófico"),CONCATENATE("R8C",'Mapa final'!$O$56),"")</f>
        <v/>
      </c>
      <c r="AM53" s="56" t="str">
        <f>IF(AND('Mapa final'!$Y$57="Muy Baja",'Mapa final'!$AA$57="Catastrófico"),CONCATENATE("R8C",'Mapa final'!$O$57),"")</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c r="A54" s="82"/>
      <c r="B54" s="288"/>
      <c r="C54" s="288"/>
      <c r="D54" s="289"/>
      <c r="E54" s="329"/>
      <c r="F54" s="330"/>
      <c r="G54" s="330"/>
      <c r="H54" s="330"/>
      <c r="I54" s="331"/>
      <c r="J54" s="75" t="str">
        <f>IF(AND('Mapa final'!$Y$58="Muy Baja",'Mapa final'!$AA$58="Leve"),CONCATENATE("R9C",'Mapa final'!$O$58),"")</f>
        <v/>
      </c>
      <c r="K54" s="76" t="str">
        <f>IF(AND('Mapa final'!$Y$59="Muy Baja",'Mapa final'!$AA$59="Leve"),CONCATENATE("R9C",'Mapa final'!$O$59),"")</f>
        <v/>
      </c>
      <c r="L54" s="76" t="str">
        <f>IF(AND('Mapa final'!$Y$60="Muy Baja",'Mapa final'!$AA$60="Leve"),CONCATENATE("R9C",'Mapa final'!$O$60),"")</f>
        <v/>
      </c>
      <c r="M54" s="76" t="str">
        <f>IF(AND('Mapa final'!$Y$61="Muy Baja",'Mapa final'!$AA$61="Leve"),CONCATENATE("R9C",'Mapa final'!$O$61),"")</f>
        <v/>
      </c>
      <c r="N54" s="76" t="str">
        <f>IF(AND('Mapa final'!$Y$62="Muy Baja",'Mapa final'!$AA$62="Leve"),CONCATENATE("R9C",'Mapa final'!$O$62),"")</f>
        <v/>
      </c>
      <c r="O54" s="77" t="str">
        <f>IF(AND('Mapa final'!$Y$63="Muy Baja",'Mapa final'!$AA$63="Leve"),CONCATENATE("R9C",'Mapa final'!$O$63),"")</f>
        <v/>
      </c>
      <c r="P54" s="75" t="str">
        <f>IF(AND('Mapa final'!$Y$58="Muy Baja",'Mapa final'!$AA$58="Menor"),CONCATENATE("R9C",'Mapa final'!$O$58),"")</f>
        <v/>
      </c>
      <c r="Q54" s="76" t="str">
        <f>IF(AND('Mapa final'!$Y$59="Muy Baja",'Mapa final'!$AA$59="Menor"),CONCATENATE("R9C",'Mapa final'!$O$59),"")</f>
        <v/>
      </c>
      <c r="R54" s="76" t="str">
        <f>IF(AND('Mapa final'!$Y$60="Muy Baja",'Mapa final'!$AA$60="Menor"),CONCATENATE("R9C",'Mapa final'!$O$60),"")</f>
        <v/>
      </c>
      <c r="S54" s="76" t="str">
        <f>IF(AND('Mapa final'!$Y$61="Muy Baja",'Mapa final'!$AA$61="Menor"),CONCATENATE("R9C",'Mapa final'!$O$61),"")</f>
        <v/>
      </c>
      <c r="T54" s="76" t="str">
        <f>IF(AND('Mapa final'!$Y$62="Muy Baja",'Mapa final'!$AA$62="Menor"),CONCATENATE("R9C",'Mapa final'!$O$62),"")</f>
        <v/>
      </c>
      <c r="U54" s="77" t="str">
        <f>IF(AND('Mapa final'!$Y$63="Muy Baja",'Mapa final'!$AA$63="Menor"),CONCATENATE("R9C",'Mapa final'!$O$63),"")</f>
        <v/>
      </c>
      <c r="V54" s="66" t="str">
        <f>IF(AND('Mapa final'!$Y$58="Muy Baja",'Mapa final'!$AA$58="Moderado"),CONCATENATE("R9C",'Mapa final'!$O$58),"")</f>
        <v/>
      </c>
      <c r="W54" s="67" t="str">
        <f>IF(AND('Mapa final'!$Y$59="Muy Baja",'Mapa final'!$AA$59="Moderado"),CONCATENATE("R9C",'Mapa final'!$O$59),"")</f>
        <v/>
      </c>
      <c r="X54" s="67" t="str">
        <f>IF(AND('Mapa final'!$Y$60="Muy Baja",'Mapa final'!$AA$60="Moderado"),CONCATENATE("R9C",'Mapa final'!$O$60),"")</f>
        <v/>
      </c>
      <c r="Y54" s="67" t="str">
        <f>IF(AND('Mapa final'!$Y$61="Muy Baja",'Mapa final'!$AA$61="Moderado"),CONCATENATE("R9C",'Mapa final'!$O$61),"")</f>
        <v/>
      </c>
      <c r="Z54" s="67" t="str">
        <f>IF(AND('Mapa final'!$Y$62="Muy Baja",'Mapa final'!$AA$62="Moderado"),CONCATENATE("R9C",'Mapa final'!$O$62),"")</f>
        <v/>
      </c>
      <c r="AA54" s="68" t="str">
        <f>IF(AND('Mapa final'!$Y$63="Muy Baja",'Mapa final'!$AA$63="Moderado"),CONCATENATE("R9C",'Mapa final'!$O$63),"")</f>
        <v/>
      </c>
      <c r="AB54" s="51" t="str">
        <f>IF(AND('Mapa final'!$Y$58="Muy Baja",'Mapa final'!$AA$58="Mayor"),CONCATENATE("R9C",'Mapa final'!$O$58),"")</f>
        <v/>
      </c>
      <c r="AC54" s="52" t="str">
        <f>IF(AND('Mapa final'!$Y$59="Muy Baja",'Mapa final'!$AA$59="Mayor"),CONCATENATE("R9C",'Mapa final'!$O$59),"")</f>
        <v/>
      </c>
      <c r="AD54" s="52" t="str">
        <f>IF(AND('Mapa final'!$Y$60="Muy Baja",'Mapa final'!$AA$60="Mayor"),CONCATENATE("R9C",'Mapa final'!$O$60),"")</f>
        <v/>
      </c>
      <c r="AE54" s="52" t="str">
        <f>IF(AND('Mapa final'!$Y$61="Muy Baja",'Mapa final'!$AA$61="Mayor"),CONCATENATE("R9C",'Mapa final'!$O$61),"")</f>
        <v/>
      </c>
      <c r="AF54" s="52" t="str">
        <f>IF(AND('Mapa final'!$Y$62="Muy Baja",'Mapa final'!$AA$62="Mayor"),CONCATENATE("R9C",'Mapa final'!$O$62),"")</f>
        <v/>
      </c>
      <c r="AG54" s="53" t="str">
        <f>IF(AND('Mapa final'!$Y$63="Muy Baja",'Mapa final'!$AA$63="Mayor"),CONCATENATE("R9C",'Mapa final'!$O$63),"")</f>
        <v/>
      </c>
      <c r="AH54" s="54" t="str">
        <f>IF(AND('Mapa final'!$Y$58="Muy Baja",'Mapa final'!$AA$58="Catastrófico"),CONCATENATE("R9C",'Mapa final'!$O$58),"")</f>
        <v/>
      </c>
      <c r="AI54" s="55" t="str">
        <f>IF(AND('Mapa final'!$Y$59="Muy Baja",'Mapa final'!$AA$59="Catastrófico"),CONCATENATE("R9C",'Mapa final'!$O$59),"")</f>
        <v/>
      </c>
      <c r="AJ54" s="55" t="str">
        <f>IF(AND('Mapa final'!$Y$60="Muy Baja",'Mapa final'!$AA$60="Catastrófico"),CONCATENATE("R9C",'Mapa final'!$O$60),"")</f>
        <v/>
      </c>
      <c r="AK54" s="55" t="str">
        <f>IF(AND('Mapa final'!$Y$61="Muy Baja",'Mapa final'!$AA$61="Catastrófico"),CONCATENATE("R9C",'Mapa final'!$O$61),"")</f>
        <v/>
      </c>
      <c r="AL54" s="55" t="str">
        <f>IF(AND('Mapa final'!$Y$62="Muy Baja",'Mapa final'!$AA$62="Catastrófico"),CONCATENATE("R9C",'Mapa final'!$O$62),"")</f>
        <v/>
      </c>
      <c r="AM54" s="56" t="str">
        <f>IF(AND('Mapa final'!$Y$63="Muy Baja",'Mapa final'!$AA$63="Catastrófico"),CONCATENATE("R9C",'Mapa final'!$O$63),"")</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c r="A55" s="82"/>
      <c r="B55" s="288"/>
      <c r="C55" s="288"/>
      <c r="D55" s="289"/>
      <c r="E55" s="332"/>
      <c r="F55" s="333"/>
      <c r="G55" s="333"/>
      <c r="H55" s="333"/>
      <c r="I55" s="334"/>
      <c r="J55" s="78" t="str">
        <f>IF(AND('Mapa final'!$Y$64="Muy Baja",'Mapa final'!$AA$64="Leve"),CONCATENATE("R10C",'Mapa final'!$O$64),"")</f>
        <v/>
      </c>
      <c r="K55" s="79" t="str">
        <f>IF(AND('Mapa final'!$Y$65="Muy Baja",'Mapa final'!$AA$65="Leve"),CONCATENATE("R10C",'Mapa final'!$O$65),"")</f>
        <v/>
      </c>
      <c r="L55" s="79" t="str">
        <f>IF(AND('Mapa final'!$Y$66="Muy Baja",'Mapa final'!$AA$66="Leve"),CONCATENATE("R10C",'Mapa final'!$O$66),"")</f>
        <v/>
      </c>
      <c r="M55" s="79" t="str">
        <f>IF(AND('Mapa final'!$Y$67="Muy Baja",'Mapa final'!$AA$67="Leve"),CONCATENATE("R10C",'Mapa final'!$O$67),"")</f>
        <v/>
      </c>
      <c r="N55" s="79" t="str">
        <f>IF(AND('Mapa final'!$Y$68="Muy Baja",'Mapa final'!$AA$68="Leve"),CONCATENATE("R10C",'Mapa final'!$O$68),"")</f>
        <v/>
      </c>
      <c r="O55" s="80" t="str">
        <f>IF(AND('Mapa final'!$Y$69="Muy Baja",'Mapa final'!$AA$69="Leve"),CONCATENATE("R10C",'Mapa final'!$O$69),"")</f>
        <v/>
      </c>
      <c r="P55" s="78" t="str">
        <f>IF(AND('Mapa final'!$Y$64="Muy Baja",'Mapa final'!$AA$64="Menor"),CONCATENATE("R10C",'Mapa final'!$O$64),"")</f>
        <v/>
      </c>
      <c r="Q55" s="79" t="str">
        <f>IF(AND('Mapa final'!$Y$65="Muy Baja",'Mapa final'!$AA$65="Menor"),CONCATENATE("R10C",'Mapa final'!$O$65),"")</f>
        <v/>
      </c>
      <c r="R55" s="79" t="str">
        <f>IF(AND('Mapa final'!$Y$66="Muy Baja",'Mapa final'!$AA$66="Menor"),CONCATENATE("R10C",'Mapa final'!$O$66),"")</f>
        <v/>
      </c>
      <c r="S55" s="79" t="str">
        <f>IF(AND('Mapa final'!$Y$67="Muy Baja",'Mapa final'!$AA$67="Menor"),CONCATENATE("R10C",'Mapa final'!$O$67),"")</f>
        <v/>
      </c>
      <c r="T55" s="79" t="str">
        <f>IF(AND('Mapa final'!$Y$68="Muy Baja",'Mapa final'!$AA$68="Menor"),CONCATENATE("R10C",'Mapa final'!$O$68),"")</f>
        <v/>
      </c>
      <c r="U55" s="80" t="str">
        <f>IF(AND('Mapa final'!$Y$69="Muy Baja",'Mapa final'!$AA$69="Menor"),CONCATENATE("R10C",'Mapa final'!$O$69),"")</f>
        <v/>
      </c>
      <c r="V55" s="69" t="str">
        <f>IF(AND('Mapa final'!$Y$64="Muy Baja",'Mapa final'!$AA$64="Moderado"),CONCATENATE("R10C",'Mapa final'!$O$64),"")</f>
        <v/>
      </c>
      <c r="W55" s="70" t="str">
        <f>IF(AND('Mapa final'!$Y$65="Muy Baja",'Mapa final'!$AA$65="Moderado"),CONCATENATE("R10C",'Mapa final'!$O$65),"")</f>
        <v/>
      </c>
      <c r="X55" s="70" t="str">
        <f>IF(AND('Mapa final'!$Y$66="Muy Baja",'Mapa final'!$AA$66="Moderado"),CONCATENATE("R10C",'Mapa final'!$O$66),"")</f>
        <v/>
      </c>
      <c r="Y55" s="70" t="str">
        <f>IF(AND('Mapa final'!$Y$67="Muy Baja",'Mapa final'!$AA$67="Moderado"),CONCATENATE("R10C",'Mapa final'!$O$67),"")</f>
        <v/>
      </c>
      <c r="Z55" s="70" t="str">
        <f>IF(AND('Mapa final'!$Y$68="Muy Baja",'Mapa final'!$AA$68="Moderado"),CONCATENATE("R10C",'Mapa final'!$O$68),"")</f>
        <v/>
      </c>
      <c r="AA55" s="71" t="str">
        <f>IF(AND('Mapa final'!$Y$69="Muy Baja",'Mapa final'!$AA$69="Moderado"),CONCATENATE("R10C",'Mapa final'!$O$69),"")</f>
        <v/>
      </c>
      <c r="AB55" s="57" t="str">
        <f>IF(AND('Mapa final'!$Y$64="Muy Baja",'Mapa final'!$AA$64="Mayor"),CONCATENATE("R10C",'Mapa final'!$O$64),"")</f>
        <v/>
      </c>
      <c r="AC55" s="58" t="str">
        <f>IF(AND('Mapa final'!$Y$65="Muy Baja",'Mapa final'!$AA$65="Mayor"),CONCATENATE("R10C",'Mapa final'!$O$65),"")</f>
        <v/>
      </c>
      <c r="AD55" s="58" t="str">
        <f>IF(AND('Mapa final'!$Y$66="Muy Baja",'Mapa final'!$AA$66="Mayor"),CONCATENATE("R10C",'Mapa final'!$O$66),"")</f>
        <v/>
      </c>
      <c r="AE55" s="58" t="str">
        <f>IF(AND('Mapa final'!$Y$67="Muy Baja",'Mapa final'!$AA$67="Mayor"),CONCATENATE("R10C",'Mapa final'!$O$67),"")</f>
        <v/>
      </c>
      <c r="AF55" s="58" t="str">
        <f>IF(AND('Mapa final'!$Y$68="Muy Baja",'Mapa final'!$AA$68="Mayor"),CONCATENATE("R10C",'Mapa final'!$O$68),"")</f>
        <v/>
      </c>
      <c r="AG55" s="59" t="str">
        <f>IF(AND('Mapa final'!$Y$69="Muy Baja",'Mapa final'!$AA$69="Mayor"),CONCATENATE("R10C",'Mapa final'!$O$69),"")</f>
        <v/>
      </c>
      <c r="AH55" s="60" t="str">
        <f>IF(AND('Mapa final'!$Y$64="Muy Baja",'Mapa final'!$AA$64="Catastrófico"),CONCATENATE("R10C",'Mapa final'!$O$64),"")</f>
        <v/>
      </c>
      <c r="AI55" s="61" t="str">
        <f>IF(AND('Mapa final'!$Y$65="Muy Baja",'Mapa final'!$AA$65="Catastrófico"),CONCATENATE("R10C",'Mapa final'!$O$65),"")</f>
        <v/>
      </c>
      <c r="AJ55" s="61" t="str">
        <f>IF(AND('Mapa final'!$Y$66="Muy Baja",'Mapa final'!$AA$66="Catastrófico"),CONCATENATE("R10C",'Mapa final'!$O$66),"")</f>
        <v/>
      </c>
      <c r="AK55" s="61" t="str">
        <f>IF(AND('Mapa final'!$Y$67="Muy Baja",'Mapa final'!$AA$67="Catastrófico"),CONCATENATE("R10C",'Mapa final'!$O$67),"")</f>
        <v/>
      </c>
      <c r="AL55" s="61" t="str">
        <f>IF(AND('Mapa final'!$Y$68="Muy Baja",'Mapa final'!$AA$68="Catastrófico"),CONCATENATE("R10C",'Mapa final'!$O$68),"")</f>
        <v/>
      </c>
      <c r="AM55" s="62" t="str">
        <f>IF(AND('Mapa final'!$Y$69="Muy Baja",'Mapa final'!$AA$69="Catastrófico"),CONCATENATE("R10C",'Mapa final'!$O$69),"")</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c r="A56" s="82"/>
      <c r="B56" s="82"/>
      <c r="C56" s="82"/>
      <c r="D56" s="82"/>
      <c r="E56" s="82"/>
      <c r="F56" s="82"/>
      <c r="G56" s="82"/>
      <c r="H56" s="82"/>
      <c r="I56" s="82"/>
      <c r="J56" s="326" t="s">
        <v>176</v>
      </c>
      <c r="K56" s="327"/>
      <c r="L56" s="327"/>
      <c r="M56" s="327"/>
      <c r="N56" s="327"/>
      <c r="O56" s="328"/>
      <c r="P56" s="326" t="s">
        <v>177</v>
      </c>
      <c r="Q56" s="327"/>
      <c r="R56" s="327"/>
      <c r="S56" s="327"/>
      <c r="T56" s="327"/>
      <c r="U56" s="328"/>
      <c r="V56" s="326" t="s">
        <v>178</v>
      </c>
      <c r="W56" s="327"/>
      <c r="X56" s="327"/>
      <c r="Y56" s="327"/>
      <c r="Z56" s="327"/>
      <c r="AA56" s="328"/>
      <c r="AB56" s="326" t="s">
        <v>179</v>
      </c>
      <c r="AC56" s="335"/>
      <c r="AD56" s="327"/>
      <c r="AE56" s="327"/>
      <c r="AF56" s="327"/>
      <c r="AG56" s="328"/>
      <c r="AH56" s="326" t="s">
        <v>180</v>
      </c>
      <c r="AI56" s="327"/>
      <c r="AJ56" s="327"/>
      <c r="AK56" s="327"/>
      <c r="AL56" s="327"/>
      <c r="AM56" s="328"/>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c r="A57" s="82"/>
      <c r="B57" s="82"/>
      <c r="C57" s="82"/>
      <c r="D57" s="82"/>
      <c r="E57" s="82"/>
      <c r="F57" s="82"/>
      <c r="G57" s="82"/>
      <c r="H57" s="82"/>
      <c r="I57" s="82"/>
      <c r="J57" s="329"/>
      <c r="K57" s="330"/>
      <c r="L57" s="330"/>
      <c r="M57" s="330"/>
      <c r="N57" s="330"/>
      <c r="O57" s="331"/>
      <c r="P57" s="329"/>
      <c r="Q57" s="330"/>
      <c r="R57" s="330"/>
      <c r="S57" s="330"/>
      <c r="T57" s="330"/>
      <c r="U57" s="331"/>
      <c r="V57" s="329"/>
      <c r="W57" s="330"/>
      <c r="X57" s="330"/>
      <c r="Y57" s="330"/>
      <c r="Z57" s="330"/>
      <c r="AA57" s="331"/>
      <c r="AB57" s="329"/>
      <c r="AC57" s="330"/>
      <c r="AD57" s="330"/>
      <c r="AE57" s="330"/>
      <c r="AF57" s="330"/>
      <c r="AG57" s="331"/>
      <c r="AH57" s="329"/>
      <c r="AI57" s="330"/>
      <c r="AJ57" s="330"/>
      <c r="AK57" s="330"/>
      <c r="AL57" s="330"/>
      <c r="AM57" s="331"/>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c r="A58" s="82"/>
      <c r="B58" s="82"/>
      <c r="C58" s="82"/>
      <c r="D58" s="82"/>
      <c r="E58" s="82"/>
      <c r="F58" s="82"/>
      <c r="G58" s="82"/>
      <c r="H58" s="82"/>
      <c r="I58" s="82"/>
      <c r="J58" s="329"/>
      <c r="K58" s="330"/>
      <c r="L58" s="330"/>
      <c r="M58" s="330"/>
      <c r="N58" s="330"/>
      <c r="O58" s="331"/>
      <c r="P58" s="329"/>
      <c r="Q58" s="330"/>
      <c r="R58" s="330"/>
      <c r="S58" s="330"/>
      <c r="T58" s="330"/>
      <c r="U58" s="331"/>
      <c r="V58" s="329"/>
      <c r="W58" s="330"/>
      <c r="X58" s="330"/>
      <c r="Y58" s="330"/>
      <c r="Z58" s="330"/>
      <c r="AA58" s="331"/>
      <c r="AB58" s="329"/>
      <c r="AC58" s="330"/>
      <c r="AD58" s="330"/>
      <c r="AE58" s="330"/>
      <c r="AF58" s="330"/>
      <c r="AG58" s="331"/>
      <c r="AH58" s="329"/>
      <c r="AI58" s="330"/>
      <c r="AJ58" s="330"/>
      <c r="AK58" s="330"/>
      <c r="AL58" s="330"/>
      <c r="AM58" s="331"/>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c r="A59" s="82"/>
      <c r="B59" s="82"/>
      <c r="C59" s="82"/>
      <c r="D59" s="82"/>
      <c r="E59" s="82"/>
      <c r="F59" s="82"/>
      <c r="G59" s="82"/>
      <c r="H59" s="82"/>
      <c r="I59" s="82"/>
      <c r="J59" s="329"/>
      <c r="K59" s="330"/>
      <c r="L59" s="330"/>
      <c r="M59" s="330"/>
      <c r="N59" s="330"/>
      <c r="O59" s="331"/>
      <c r="P59" s="329"/>
      <c r="Q59" s="330"/>
      <c r="R59" s="330"/>
      <c r="S59" s="330"/>
      <c r="T59" s="330"/>
      <c r="U59" s="331"/>
      <c r="V59" s="329"/>
      <c r="W59" s="330"/>
      <c r="X59" s="330"/>
      <c r="Y59" s="330"/>
      <c r="Z59" s="330"/>
      <c r="AA59" s="331"/>
      <c r="AB59" s="329"/>
      <c r="AC59" s="330"/>
      <c r="AD59" s="330"/>
      <c r="AE59" s="330"/>
      <c r="AF59" s="330"/>
      <c r="AG59" s="331"/>
      <c r="AH59" s="329"/>
      <c r="AI59" s="330"/>
      <c r="AJ59" s="330"/>
      <c r="AK59" s="330"/>
      <c r="AL59" s="330"/>
      <c r="AM59" s="331"/>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c r="A60" s="82"/>
      <c r="B60" s="82"/>
      <c r="C60" s="82"/>
      <c r="D60" s="82"/>
      <c r="E60" s="82"/>
      <c r="F60" s="82"/>
      <c r="G60" s="82"/>
      <c r="H60" s="82"/>
      <c r="I60" s="82"/>
      <c r="J60" s="329"/>
      <c r="K60" s="330"/>
      <c r="L60" s="330"/>
      <c r="M60" s="330"/>
      <c r="N60" s="330"/>
      <c r="O60" s="331"/>
      <c r="P60" s="329"/>
      <c r="Q60" s="330"/>
      <c r="R60" s="330"/>
      <c r="S60" s="330"/>
      <c r="T60" s="330"/>
      <c r="U60" s="331"/>
      <c r="V60" s="329"/>
      <c r="W60" s="330"/>
      <c r="X60" s="330"/>
      <c r="Y60" s="330"/>
      <c r="Z60" s="330"/>
      <c r="AA60" s="331"/>
      <c r="AB60" s="329"/>
      <c r="AC60" s="330"/>
      <c r="AD60" s="330"/>
      <c r="AE60" s="330"/>
      <c r="AF60" s="330"/>
      <c r="AG60" s="331"/>
      <c r="AH60" s="329"/>
      <c r="AI60" s="330"/>
      <c r="AJ60" s="330"/>
      <c r="AK60" s="330"/>
      <c r="AL60" s="330"/>
      <c r="AM60" s="33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c r="A61" s="82"/>
      <c r="B61" s="82"/>
      <c r="C61" s="82"/>
      <c r="D61" s="82"/>
      <c r="E61" s="82"/>
      <c r="F61" s="82"/>
      <c r="G61" s="82"/>
      <c r="H61" s="82"/>
      <c r="I61" s="82"/>
      <c r="J61" s="332"/>
      <c r="K61" s="333"/>
      <c r="L61" s="333"/>
      <c r="M61" s="333"/>
      <c r="N61" s="333"/>
      <c r="O61" s="334"/>
      <c r="P61" s="332"/>
      <c r="Q61" s="333"/>
      <c r="R61" s="333"/>
      <c r="S61" s="333"/>
      <c r="T61" s="333"/>
      <c r="U61" s="334"/>
      <c r="V61" s="332"/>
      <c r="W61" s="333"/>
      <c r="X61" s="333"/>
      <c r="Y61" s="333"/>
      <c r="Z61" s="333"/>
      <c r="AA61" s="334"/>
      <c r="AB61" s="332"/>
      <c r="AC61" s="333"/>
      <c r="AD61" s="333"/>
      <c r="AE61" s="333"/>
      <c r="AF61" s="333"/>
      <c r="AG61" s="334"/>
      <c r="AH61" s="332"/>
      <c r="AI61" s="333"/>
      <c r="AJ61" s="333"/>
      <c r="AK61" s="333"/>
      <c r="AL61" s="333"/>
      <c r="AM61" s="334"/>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c r="A245" s="82"/>
    </row>
    <row r="246" spans="1:60">
      <c r="A246" s="82"/>
    </row>
    <row r="247" spans="1:60">
      <c r="A247" s="82"/>
    </row>
    <row r="248" spans="1:60">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60" zoomScaleNormal="60" workbookViewId="0">
      <selection activeCell="C5" sqref="C5"/>
    </sheetView>
  </sheetViews>
  <sheetFormatPr defaultColWidth="11.42578125" defaultRowHeight="15"/>
  <cols>
    <col min="2" max="2" width="24.140625" customWidth="1"/>
    <col min="3" max="3" width="88.5703125" customWidth="1"/>
    <col min="4" max="4" width="29.85546875" customWidth="1"/>
  </cols>
  <sheetData>
    <row r="1" spans="1:37" ht="23.25">
      <c r="A1" s="82"/>
      <c r="B1" s="375" t="s">
        <v>182</v>
      </c>
      <c r="C1" s="375"/>
      <c r="D1" s="375"/>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c r="A3" s="82"/>
      <c r="B3" s="10"/>
      <c r="C3" s="11" t="s">
        <v>183</v>
      </c>
      <c r="D3" s="11" t="s">
        <v>166</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62.25" customHeight="1">
      <c r="A4" s="82"/>
      <c r="B4" s="12" t="s">
        <v>184</v>
      </c>
      <c r="C4" s="13" t="s">
        <v>185</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62.25" customHeight="1">
      <c r="A5" s="82"/>
      <c r="B5" s="15" t="s">
        <v>186</v>
      </c>
      <c r="C5" s="16" t="s">
        <v>187</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62.25" customHeight="1">
      <c r="A6" s="82"/>
      <c r="B6" s="18" t="s">
        <v>188</v>
      </c>
      <c r="C6" s="16" t="s">
        <v>189</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62.25" customHeight="1">
      <c r="A7" s="82"/>
      <c r="B7" s="19" t="s">
        <v>190</v>
      </c>
      <c r="C7" s="16" t="s">
        <v>191</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62.25" customHeight="1">
      <c r="A8" s="82"/>
      <c r="B8" s="20" t="s">
        <v>192</v>
      </c>
      <c r="C8" s="16" t="s">
        <v>193</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c r="A35" s="82"/>
    </row>
    <row r="36" spans="1:31">
      <c r="A36" s="82"/>
    </row>
    <row r="37" spans="1:31">
      <c r="A37" s="82"/>
    </row>
    <row r="38" spans="1:31">
      <c r="A38" s="82"/>
    </row>
    <row r="39" spans="1:31">
      <c r="A39" s="82"/>
    </row>
    <row r="40" spans="1:31">
      <c r="A40" s="82"/>
    </row>
    <row r="41" spans="1:31">
      <c r="A41" s="82"/>
    </row>
    <row r="42" spans="1:31">
      <c r="A42" s="82"/>
    </row>
    <row r="43" spans="1:31">
      <c r="A43" s="82"/>
    </row>
    <row r="44" spans="1:31">
      <c r="A44" s="82"/>
    </row>
    <row r="45" spans="1:31">
      <c r="A45" s="82"/>
    </row>
    <row r="46" spans="1:31">
      <c r="A46" s="82"/>
    </row>
    <row r="47" spans="1:31">
      <c r="A47" s="82"/>
    </row>
    <row r="48" spans="1:31">
      <c r="A48" s="82"/>
    </row>
    <row r="49" spans="1:1">
      <c r="A49" s="82"/>
    </row>
    <row r="50" spans="1:1">
      <c r="A50" s="82"/>
    </row>
    <row r="51" spans="1:1">
      <c r="A51" s="82"/>
    </row>
    <row r="52" spans="1:1">
      <c r="A52" s="82"/>
    </row>
    <row r="53" spans="1:1">
      <c r="A53" s="82"/>
    </row>
    <row r="54" spans="1:1">
      <c r="A54" s="82"/>
    </row>
    <row r="55" spans="1:1">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50" zoomScaleNormal="50" workbookViewId="0">
      <selection activeCell="A8" sqref="A8"/>
    </sheetView>
  </sheetViews>
  <sheetFormatPr defaultColWidth="11.42578125" defaultRowHeight="15"/>
  <cols>
    <col min="2" max="2" width="40.42578125" customWidth="1"/>
    <col min="3" max="3" width="74.85546875" customWidth="1"/>
    <col min="4" max="4" width="135" bestFit="1" customWidth="1"/>
    <col min="5" max="5" width="144.7109375" bestFit="1" customWidth="1"/>
  </cols>
  <sheetData>
    <row r="1" spans="1:21" ht="33.75">
      <c r="A1" s="82"/>
      <c r="B1" s="376" t="s">
        <v>194</v>
      </c>
      <c r="C1" s="376"/>
      <c r="D1" s="376"/>
      <c r="E1" s="82"/>
      <c r="F1" s="82"/>
      <c r="G1" s="82"/>
      <c r="H1" s="82"/>
      <c r="I1" s="82"/>
      <c r="J1" s="82"/>
      <c r="K1" s="82"/>
      <c r="L1" s="82"/>
      <c r="M1" s="82"/>
      <c r="N1" s="82"/>
      <c r="O1" s="82"/>
      <c r="P1" s="82"/>
      <c r="Q1" s="82"/>
      <c r="R1" s="82"/>
      <c r="S1" s="82"/>
      <c r="T1" s="82"/>
      <c r="U1" s="82"/>
    </row>
    <row r="2" spans="1:21">
      <c r="A2" s="82"/>
      <c r="B2" s="82"/>
      <c r="C2" s="82"/>
      <c r="D2" s="82"/>
      <c r="E2" s="82"/>
      <c r="F2" s="82"/>
      <c r="G2" s="82"/>
      <c r="H2" s="82"/>
      <c r="I2" s="82"/>
      <c r="J2" s="82"/>
      <c r="K2" s="82"/>
      <c r="L2" s="82"/>
      <c r="M2" s="82"/>
      <c r="N2" s="82"/>
      <c r="O2" s="82"/>
      <c r="P2" s="82"/>
      <c r="Q2" s="82"/>
      <c r="R2" s="82"/>
      <c r="S2" s="82"/>
      <c r="T2" s="82"/>
      <c r="U2" s="82"/>
    </row>
    <row r="3" spans="1:21" ht="60">
      <c r="A3" s="82"/>
      <c r="B3" s="103"/>
      <c r="C3" s="35" t="s">
        <v>195</v>
      </c>
      <c r="D3" s="35" t="s">
        <v>196</v>
      </c>
      <c r="E3" s="82"/>
      <c r="F3" s="82"/>
      <c r="G3" s="82"/>
      <c r="H3" s="82"/>
      <c r="I3" s="82"/>
      <c r="J3" s="82"/>
      <c r="K3" s="82"/>
      <c r="L3" s="82"/>
      <c r="M3" s="82"/>
      <c r="N3" s="82"/>
      <c r="O3" s="82"/>
      <c r="P3" s="82"/>
      <c r="Q3" s="82"/>
      <c r="R3" s="82"/>
      <c r="S3" s="82"/>
      <c r="T3" s="82"/>
      <c r="U3" s="82"/>
    </row>
    <row r="4" spans="1:21" ht="78" customHeight="1">
      <c r="A4" s="102" t="s">
        <v>197</v>
      </c>
      <c r="B4" s="38" t="s">
        <v>198</v>
      </c>
      <c r="C4" s="43" t="s">
        <v>199</v>
      </c>
      <c r="D4" s="36" t="s">
        <v>200</v>
      </c>
      <c r="E4" s="82"/>
      <c r="F4" s="82"/>
      <c r="G4" s="82"/>
      <c r="H4" s="82"/>
      <c r="I4" s="82"/>
      <c r="J4" s="82"/>
      <c r="K4" s="82"/>
      <c r="L4" s="82"/>
      <c r="M4" s="82"/>
      <c r="N4" s="82"/>
      <c r="O4" s="82"/>
      <c r="P4" s="82"/>
      <c r="Q4" s="82"/>
      <c r="R4" s="82"/>
      <c r="S4" s="82"/>
      <c r="T4" s="82"/>
      <c r="U4" s="82"/>
    </row>
    <row r="5" spans="1:21" ht="78" customHeight="1">
      <c r="A5" s="102" t="s">
        <v>201</v>
      </c>
      <c r="B5" s="39" t="s">
        <v>202</v>
      </c>
      <c r="C5" s="44" t="s">
        <v>203</v>
      </c>
      <c r="D5" s="37" t="s">
        <v>204</v>
      </c>
      <c r="E5" s="82"/>
      <c r="F5" s="82"/>
      <c r="G5" s="82"/>
      <c r="H5" s="82"/>
      <c r="I5" s="82"/>
      <c r="J5" s="82"/>
      <c r="K5" s="82"/>
      <c r="L5" s="82"/>
      <c r="M5" s="82"/>
      <c r="N5" s="82"/>
      <c r="O5" s="82"/>
      <c r="P5" s="82"/>
      <c r="Q5" s="82"/>
      <c r="R5" s="82"/>
      <c r="S5" s="82"/>
      <c r="T5" s="82"/>
      <c r="U5" s="82"/>
    </row>
    <row r="6" spans="1:21" ht="78" customHeight="1">
      <c r="A6" s="102" t="s">
        <v>172</v>
      </c>
      <c r="B6" s="40" t="s">
        <v>205</v>
      </c>
      <c r="C6" s="44" t="s">
        <v>206</v>
      </c>
      <c r="D6" s="37" t="s">
        <v>207</v>
      </c>
      <c r="E6" s="82"/>
      <c r="F6" s="82"/>
      <c r="G6" s="82"/>
      <c r="H6" s="82"/>
      <c r="I6" s="82"/>
      <c r="J6" s="82"/>
      <c r="K6" s="82"/>
      <c r="L6" s="82"/>
      <c r="M6" s="82"/>
      <c r="N6" s="82"/>
      <c r="O6" s="82"/>
      <c r="P6" s="82"/>
      <c r="Q6" s="82"/>
      <c r="R6" s="82"/>
      <c r="S6" s="82"/>
      <c r="T6" s="82"/>
      <c r="U6" s="82"/>
    </row>
    <row r="7" spans="1:21" ht="78" customHeight="1">
      <c r="A7" s="102" t="s">
        <v>208</v>
      </c>
      <c r="B7" s="41" t="s">
        <v>209</v>
      </c>
      <c r="C7" s="44" t="s">
        <v>210</v>
      </c>
      <c r="D7" s="37" t="s">
        <v>211</v>
      </c>
      <c r="E7" s="82"/>
      <c r="F7" s="82"/>
      <c r="G7" s="82"/>
      <c r="H7" s="82"/>
      <c r="I7" s="82"/>
      <c r="J7" s="82"/>
      <c r="K7" s="82"/>
      <c r="L7" s="82"/>
      <c r="M7" s="82"/>
      <c r="N7" s="82"/>
      <c r="O7" s="82"/>
      <c r="P7" s="82"/>
      <c r="Q7" s="82"/>
      <c r="R7" s="82"/>
      <c r="S7" s="82"/>
      <c r="T7" s="82"/>
      <c r="U7" s="82"/>
    </row>
    <row r="8" spans="1:21" ht="78" customHeight="1">
      <c r="A8" s="102" t="s">
        <v>212</v>
      </c>
      <c r="B8" s="42" t="s">
        <v>213</v>
      </c>
      <c r="C8" s="44" t="s">
        <v>214</v>
      </c>
      <c r="D8" s="37" t="s">
        <v>215</v>
      </c>
      <c r="E8" s="82"/>
      <c r="F8" s="82"/>
      <c r="G8" s="82"/>
      <c r="H8" s="82"/>
      <c r="I8" s="82"/>
      <c r="J8" s="82"/>
      <c r="K8" s="82"/>
      <c r="L8" s="82"/>
      <c r="M8" s="82"/>
      <c r="N8" s="82"/>
      <c r="O8" s="82"/>
      <c r="P8" s="82"/>
      <c r="Q8" s="82"/>
      <c r="R8" s="82"/>
      <c r="S8" s="82"/>
      <c r="T8" s="82"/>
      <c r="U8" s="82"/>
    </row>
    <row r="9" spans="1:21" ht="20.25">
      <c r="A9" s="102"/>
      <c r="B9" s="102"/>
      <c r="C9" s="104"/>
      <c r="D9" s="104"/>
      <c r="E9" s="82"/>
      <c r="F9" s="82"/>
      <c r="G9" s="82"/>
      <c r="H9" s="82"/>
      <c r="I9" s="82"/>
      <c r="J9" s="82"/>
      <c r="K9" s="82"/>
      <c r="L9" s="82"/>
      <c r="M9" s="82"/>
      <c r="N9" s="82"/>
      <c r="O9" s="82"/>
      <c r="P9" s="82"/>
      <c r="Q9" s="82"/>
      <c r="R9" s="82"/>
      <c r="S9" s="82"/>
      <c r="T9" s="82"/>
      <c r="U9" s="82"/>
    </row>
    <row r="10" spans="1:21" ht="16.5">
      <c r="A10" s="102"/>
      <c r="B10" s="105"/>
      <c r="C10" s="105"/>
      <c r="D10" s="105"/>
      <c r="E10" s="82"/>
      <c r="F10" s="82"/>
      <c r="G10" s="82"/>
      <c r="H10" s="82"/>
      <c r="I10" s="82"/>
      <c r="J10" s="82"/>
      <c r="K10" s="82"/>
      <c r="L10" s="82"/>
      <c r="M10" s="82"/>
      <c r="N10" s="82"/>
      <c r="O10" s="82"/>
      <c r="P10" s="82"/>
      <c r="Q10" s="82"/>
      <c r="R10" s="82"/>
      <c r="S10" s="82"/>
      <c r="T10" s="82"/>
      <c r="U10" s="82"/>
    </row>
    <row r="11" spans="1:21">
      <c r="A11" s="102"/>
      <c r="B11" s="102" t="s">
        <v>216</v>
      </c>
      <c r="C11" s="102" t="s">
        <v>217</v>
      </c>
      <c r="D11" s="102" t="s">
        <v>218</v>
      </c>
      <c r="E11" s="82"/>
      <c r="F11" s="82"/>
      <c r="G11" s="82"/>
      <c r="H11" s="82"/>
      <c r="I11" s="82"/>
      <c r="J11" s="82"/>
      <c r="K11" s="82"/>
      <c r="L11" s="82"/>
      <c r="M11" s="82"/>
      <c r="N11" s="82"/>
      <c r="O11" s="82"/>
      <c r="P11" s="82"/>
      <c r="Q11" s="82"/>
      <c r="R11" s="82"/>
      <c r="S11" s="82"/>
      <c r="T11" s="82"/>
      <c r="U11" s="82"/>
    </row>
    <row r="12" spans="1:21">
      <c r="A12" s="102"/>
      <c r="B12" s="102" t="s">
        <v>219</v>
      </c>
      <c r="C12" s="102" t="s">
        <v>220</v>
      </c>
      <c r="D12" s="102" t="s">
        <v>221</v>
      </c>
      <c r="E12" s="82"/>
      <c r="F12" s="82"/>
      <c r="G12" s="82"/>
      <c r="H12" s="82"/>
      <c r="I12" s="82"/>
      <c r="J12" s="82"/>
      <c r="K12" s="82"/>
      <c r="L12" s="82"/>
      <c r="M12" s="82"/>
      <c r="N12" s="82"/>
      <c r="O12" s="82"/>
      <c r="P12" s="82"/>
      <c r="Q12" s="82"/>
      <c r="R12" s="82"/>
      <c r="S12" s="82"/>
      <c r="T12" s="82"/>
      <c r="U12" s="82"/>
    </row>
    <row r="13" spans="1:21">
      <c r="A13" s="102"/>
      <c r="B13" s="102"/>
      <c r="C13" s="102" t="s">
        <v>222</v>
      </c>
      <c r="D13" s="102" t="s">
        <v>100</v>
      </c>
      <c r="E13" s="82"/>
      <c r="F13" s="82"/>
      <c r="G13" s="82"/>
      <c r="H13" s="82"/>
      <c r="I13" s="82"/>
      <c r="J13" s="82"/>
      <c r="K13" s="82"/>
      <c r="L13" s="82"/>
      <c r="M13" s="82"/>
      <c r="N13" s="82"/>
      <c r="O13" s="82"/>
      <c r="P13" s="82"/>
      <c r="Q13" s="82"/>
      <c r="R13" s="82"/>
      <c r="S13" s="82"/>
      <c r="T13" s="82"/>
      <c r="U13" s="82"/>
    </row>
    <row r="14" spans="1:21">
      <c r="A14" s="102"/>
      <c r="B14" s="102"/>
      <c r="C14" s="102" t="s">
        <v>223</v>
      </c>
      <c r="D14" s="102" t="s">
        <v>131</v>
      </c>
      <c r="E14" s="82"/>
      <c r="F14" s="82"/>
      <c r="G14" s="82"/>
      <c r="H14" s="82"/>
      <c r="I14" s="82"/>
      <c r="J14" s="82"/>
      <c r="K14" s="82"/>
      <c r="L14" s="82"/>
      <c r="M14" s="82"/>
      <c r="N14" s="82"/>
      <c r="O14" s="82"/>
      <c r="P14" s="82"/>
      <c r="Q14" s="82"/>
      <c r="R14" s="82"/>
      <c r="S14" s="82"/>
      <c r="T14" s="82"/>
      <c r="U14" s="82"/>
    </row>
    <row r="15" spans="1:21">
      <c r="A15" s="102"/>
      <c r="B15" s="102"/>
      <c r="C15" s="102" t="s">
        <v>224</v>
      </c>
      <c r="D15" s="102" t="s">
        <v>225</v>
      </c>
      <c r="E15" s="82"/>
      <c r="F15" s="82"/>
      <c r="G15" s="82"/>
      <c r="H15" s="82"/>
      <c r="I15" s="82"/>
      <c r="J15" s="82"/>
      <c r="K15" s="82"/>
      <c r="L15" s="82"/>
      <c r="M15" s="82"/>
      <c r="N15" s="82"/>
      <c r="O15" s="82"/>
      <c r="P15" s="82"/>
      <c r="Q15" s="82"/>
      <c r="R15" s="82"/>
      <c r="S15" s="82"/>
      <c r="T15" s="82"/>
      <c r="U15" s="82"/>
    </row>
    <row r="16" spans="1:21">
      <c r="A16" s="102"/>
      <c r="B16" s="102"/>
      <c r="C16" s="102"/>
      <c r="D16" s="102"/>
      <c r="E16" s="82"/>
      <c r="F16" s="82"/>
      <c r="G16" s="82"/>
      <c r="H16" s="82"/>
      <c r="I16" s="82"/>
      <c r="J16" s="82"/>
      <c r="K16" s="82"/>
      <c r="L16" s="82"/>
      <c r="M16" s="82"/>
      <c r="N16" s="82"/>
      <c r="O16" s="82"/>
    </row>
    <row r="17" spans="1:15">
      <c r="A17" s="102"/>
      <c r="B17" s="102"/>
      <c r="C17" s="102"/>
      <c r="D17" s="102"/>
      <c r="E17" s="82"/>
      <c r="F17" s="82"/>
      <c r="G17" s="82"/>
      <c r="H17" s="82"/>
      <c r="I17" s="82"/>
      <c r="J17" s="82"/>
      <c r="K17" s="82"/>
      <c r="L17" s="82"/>
      <c r="M17" s="82"/>
      <c r="N17" s="82"/>
      <c r="O17" s="82"/>
    </row>
    <row r="18" spans="1:15">
      <c r="A18" s="102"/>
      <c r="B18" s="106"/>
      <c r="C18" s="106"/>
      <c r="D18" s="106"/>
      <c r="E18" s="82"/>
      <c r="F18" s="82"/>
      <c r="G18" s="82"/>
      <c r="H18" s="82"/>
      <c r="I18" s="82"/>
      <c r="J18" s="82"/>
      <c r="K18" s="82"/>
      <c r="L18" s="82"/>
      <c r="M18" s="82"/>
      <c r="N18" s="82"/>
      <c r="O18" s="82"/>
    </row>
    <row r="19" spans="1:15">
      <c r="A19" s="102"/>
      <c r="B19" s="106"/>
      <c r="C19" s="106"/>
      <c r="D19" s="106"/>
      <c r="E19" s="82"/>
      <c r="F19" s="82"/>
      <c r="G19" s="82"/>
      <c r="H19" s="82"/>
      <c r="I19" s="82"/>
      <c r="J19" s="82"/>
      <c r="K19" s="82"/>
      <c r="L19" s="82"/>
      <c r="M19" s="82"/>
      <c r="N19" s="82"/>
      <c r="O19" s="82"/>
    </row>
    <row r="20" spans="1:15">
      <c r="A20" s="102"/>
      <c r="B20" s="106"/>
      <c r="C20" s="106"/>
      <c r="D20" s="106"/>
      <c r="E20" s="82"/>
      <c r="F20" s="82"/>
      <c r="G20" s="82"/>
      <c r="H20" s="82"/>
      <c r="I20" s="82"/>
      <c r="J20" s="82"/>
      <c r="K20" s="82"/>
      <c r="L20" s="82"/>
      <c r="M20" s="82"/>
      <c r="N20" s="82"/>
      <c r="O20" s="82"/>
    </row>
    <row r="21" spans="1:15">
      <c r="A21" s="102"/>
      <c r="B21" s="106"/>
      <c r="C21" s="106"/>
      <c r="D21" s="106"/>
      <c r="E21" s="82"/>
      <c r="F21" s="82"/>
      <c r="G21" s="82"/>
      <c r="H21" s="82"/>
      <c r="I21" s="82"/>
      <c r="J21" s="82"/>
      <c r="K21" s="82"/>
      <c r="L21" s="82"/>
      <c r="M21" s="82"/>
      <c r="N21" s="82"/>
      <c r="O21" s="82"/>
    </row>
    <row r="22" spans="1:15" ht="20.25">
      <c r="A22" s="102"/>
      <c r="B22" s="102"/>
      <c r="C22" s="104"/>
      <c r="D22" s="104"/>
      <c r="E22" s="82"/>
      <c r="F22" s="82"/>
      <c r="G22" s="82"/>
      <c r="H22" s="82"/>
      <c r="I22" s="82"/>
      <c r="J22" s="82"/>
      <c r="K22" s="82"/>
      <c r="L22" s="82"/>
      <c r="M22" s="82"/>
      <c r="N22" s="82"/>
      <c r="O22" s="82"/>
    </row>
    <row r="23" spans="1:15" ht="20.25">
      <c r="A23" s="102"/>
      <c r="B23" s="102"/>
      <c r="C23" s="104"/>
      <c r="D23" s="104"/>
      <c r="E23" s="82"/>
      <c r="F23" s="82"/>
      <c r="G23" s="82"/>
      <c r="H23" s="82"/>
      <c r="I23" s="82"/>
      <c r="J23" s="82"/>
      <c r="K23" s="82"/>
      <c r="L23" s="82"/>
      <c r="M23" s="82"/>
      <c r="N23" s="82"/>
      <c r="O23" s="82"/>
    </row>
    <row r="24" spans="1:15" ht="20.25">
      <c r="A24" s="102"/>
      <c r="B24" s="102"/>
      <c r="C24" s="104"/>
      <c r="D24" s="104"/>
      <c r="E24" s="82"/>
      <c r="F24" s="82"/>
      <c r="G24" s="82"/>
      <c r="H24" s="82"/>
      <c r="I24" s="82"/>
      <c r="J24" s="82"/>
      <c r="K24" s="82"/>
      <c r="L24" s="82"/>
      <c r="M24" s="82"/>
      <c r="N24" s="82"/>
      <c r="O24" s="82"/>
    </row>
    <row r="25" spans="1:15" ht="20.25">
      <c r="A25" s="102"/>
      <c r="B25" s="102"/>
      <c r="C25" s="104"/>
      <c r="D25" s="104"/>
      <c r="E25" s="82"/>
      <c r="F25" s="82"/>
      <c r="G25" s="82"/>
      <c r="H25" s="82"/>
      <c r="I25" s="82"/>
      <c r="J25" s="82"/>
      <c r="K25" s="82"/>
      <c r="L25" s="82"/>
      <c r="M25" s="82"/>
      <c r="N25" s="82"/>
      <c r="O25" s="82"/>
    </row>
    <row r="26" spans="1:15" ht="20.25">
      <c r="A26" s="102"/>
      <c r="B26" s="102"/>
      <c r="C26" s="104"/>
      <c r="D26" s="104"/>
      <c r="E26" s="82"/>
      <c r="F26" s="82"/>
      <c r="G26" s="82"/>
      <c r="H26" s="82"/>
      <c r="I26" s="82"/>
      <c r="J26" s="82"/>
      <c r="K26" s="82"/>
      <c r="L26" s="82"/>
      <c r="M26" s="82"/>
      <c r="N26" s="82"/>
      <c r="O26" s="82"/>
    </row>
    <row r="27" spans="1:15" ht="20.25">
      <c r="A27" s="102"/>
      <c r="B27" s="102"/>
      <c r="C27" s="104"/>
      <c r="D27" s="104"/>
      <c r="E27" s="82"/>
      <c r="F27" s="82"/>
      <c r="G27" s="82"/>
      <c r="H27" s="82"/>
      <c r="I27" s="82"/>
      <c r="J27" s="82"/>
      <c r="K27" s="82"/>
      <c r="L27" s="82"/>
      <c r="M27" s="82"/>
      <c r="N27" s="82"/>
      <c r="O27" s="82"/>
    </row>
    <row r="28" spans="1:15" ht="20.25">
      <c r="A28" s="102"/>
      <c r="B28" s="102"/>
      <c r="C28" s="104"/>
      <c r="D28" s="104"/>
      <c r="E28" s="82"/>
      <c r="F28" s="82"/>
      <c r="G28" s="82"/>
      <c r="H28" s="82"/>
      <c r="I28" s="82"/>
      <c r="J28" s="82"/>
      <c r="K28" s="82"/>
      <c r="L28" s="82"/>
      <c r="M28" s="82"/>
      <c r="N28" s="82"/>
      <c r="O28" s="82"/>
    </row>
    <row r="29" spans="1:15" ht="20.25">
      <c r="A29" s="102"/>
      <c r="B29" s="102"/>
      <c r="C29" s="104"/>
      <c r="D29" s="104"/>
      <c r="E29" s="82"/>
      <c r="F29" s="82"/>
      <c r="G29" s="82"/>
      <c r="H29" s="82"/>
      <c r="I29" s="82"/>
      <c r="J29" s="82"/>
      <c r="K29" s="82"/>
      <c r="L29" s="82"/>
      <c r="M29" s="82"/>
      <c r="N29" s="82"/>
      <c r="O29" s="82"/>
    </row>
    <row r="30" spans="1:15" ht="20.25">
      <c r="A30" s="102"/>
      <c r="B30" s="102"/>
      <c r="C30" s="104"/>
      <c r="D30" s="104"/>
      <c r="E30" s="82"/>
      <c r="F30" s="82"/>
      <c r="G30" s="82"/>
      <c r="H30" s="82"/>
      <c r="I30" s="82"/>
      <c r="J30" s="82"/>
      <c r="K30" s="82"/>
      <c r="L30" s="82"/>
      <c r="M30" s="82"/>
      <c r="N30" s="82"/>
      <c r="O30" s="82"/>
    </row>
    <row r="31" spans="1:15" ht="20.25">
      <c r="A31" s="102"/>
      <c r="B31" s="102"/>
      <c r="C31" s="104"/>
      <c r="D31" s="104"/>
      <c r="E31" s="82"/>
      <c r="F31" s="82"/>
      <c r="G31" s="82"/>
      <c r="H31" s="82"/>
      <c r="I31" s="82"/>
      <c r="J31" s="82"/>
      <c r="K31" s="82"/>
      <c r="L31" s="82"/>
      <c r="M31" s="82"/>
      <c r="N31" s="82"/>
      <c r="O31" s="82"/>
    </row>
    <row r="32" spans="1:15" ht="20.25">
      <c r="A32" s="102"/>
      <c r="B32" s="102"/>
      <c r="C32" s="104"/>
      <c r="D32" s="104"/>
      <c r="E32" s="82"/>
      <c r="F32" s="82"/>
      <c r="G32" s="82"/>
      <c r="H32" s="82"/>
      <c r="I32" s="82"/>
      <c r="J32" s="82"/>
      <c r="K32" s="82"/>
      <c r="L32" s="82"/>
      <c r="M32" s="82"/>
      <c r="N32" s="82"/>
      <c r="O32" s="82"/>
    </row>
    <row r="33" spans="1:15" ht="20.25">
      <c r="A33" s="102"/>
      <c r="B33" s="102"/>
      <c r="C33" s="104"/>
      <c r="D33" s="104"/>
      <c r="E33" s="82"/>
      <c r="F33" s="82"/>
      <c r="G33" s="82"/>
      <c r="H33" s="82"/>
      <c r="I33" s="82"/>
      <c r="J33" s="82"/>
      <c r="K33" s="82"/>
      <c r="L33" s="82"/>
      <c r="M33" s="82"/>
      <c r="N33" s="82"/>
      <c r="O33" s="82"/>
    </row>
    <row r="34" spans="1:15" ht="20.25">
      <c r="A34" s="102"/>
      <c r="B34" s="102"/>
      <c r="C34" s="104"/>
      <c r="D34" s="104"/>
      <c r="E34" s="82"/>
      <c r="F34" s="82"/>
      <c r="G34" s="82"/>
      <c r="H34" s="82"/>
      <c r="I34" s="82"/>
      <c r="J34" s="82"/>
      <c r="K34" s="82"/>
      <c r="L34" s="82"/>
      <c r="M34" s="82"/>
      <c r="N34" s="82"/>
      <c r="O34" s="82"/>
    </row>
    <row r="35" spans="1:15" ht="20.25">
      <c r="A35" s="102"/>
      <c r="B35" s="102"/>
      <c r="C35" s="104"/>
      <c r="D35" s="104"/>
      <c r="E35" s="82"/>
      <c r="F35" s="82"/>
      <c r="G35" s="82"/>
      <c r="H35" s="82"/>
      <c r="I35" s="82"/>
      <c r="J35" s="82"/>
      <c r="K35" s="82"/>
      <c r="L35" s="82"/>
      <c r="M35" s="82"/>
      <c r="N35" s="82"/>
      <c r="O35" s="82"/>
    </row>
    <row r="36" spans="1:15" ht="20.25">
      <c r="A36" s="102"/>
      <c r="B36" s="102"/>
      <c r="C36" s="104"/>
      <c r="D36" s="104"/>
      <c r="E36" s="82"/>
      <c r="F36" s="82"/>
      <c r="G36" s="82"/>
      <c r="H36" s="82"/>
      <c r="I36" s="82"/>
      <c r="J36" s="82"/>
      <c r="K36" s="82"/>
      <c r="L36" s="82"/>
      <c r="M36" s="82"/>
      <c r="N36" s="82"/>
      <c r="O36" s="82"/>
    </row>
    <row r="37" spans="1:15" ht="20.25">
      <c r="A37" s="102"/>
      <c r="B37" s="102"/>
      <c r="C37" s="104"/>
      <c r="D37" s="104"/>
      <c r="E37" s="82"/>
      <c r="F37" s="82"/>
      <c r="G37" s="82"/>
      <c r="H37" s="82"/>
      <c r="I37" s="82"/>
      <c r="J37" s="82"/>
      <c r="K37" s="82"/>
      <c r="L37" s="82"/>
      <c r="M37" s="82"/>
      <c r="N37" s="82"/>
      <c r="O37" s="82"/>
    </row>
    <row r="38" spans="1:15" ht="20.25">
      <c r="A38" s="102"/>
      <c r="B38" s="102"/>
      <c r="C38" s="104"/>
      <c r="D38" s="104"/>
      <c r="E38" s="82"/>
      <c r="F38" s="82"/>
      <c r="G38" s="82"/>
      <c r="H38" s="82"/>
      <c r="I38" s="82"/>
      <c r="J38" s="82"/>
      <c r="K38" s="82"/>
      <c r="L38" s="82"/>
      <c r="M38" s="82"/>
      <c r="N38" s="82"/>
      <c r="O38" s="82"/>
    </row>
    <row r="39" spans="1:15" ht="20.25">
      <c r="A39" s="102"/>
      <c r="B39" s="102"/>
      <c r="C39" s="104"/>
      <c r="D39" s="104"/>
      <c r="E39" s="82"/>
      <c r="F39" s="82"/>
      <c r="G39" s="82"/>
      <c r="H39" s="82"/>
      <c r="I39" s="82"/>
      <c r="J39" s="82"/>
      <c r="K39" s="82"/>
      <c r="L39" s="82"/>
      <c r="M39" s="82"/>
      <c r="N39" s="82"/>
      <c r="O39" s="82"/>
    </row>
    <row r="40" spans="1:15" ht="20.25">
      <c r="A40" s="102"/>
      <c r="B40" s="102"/>
      <c r="C40" s="104"/>
      <c r="D40" s="104"/>
      <c r="E40" s="82"/>
      <c r="F40" s="82"/>
      <c r="G40" s="82"/>
      <c r="H40" s="82"/>
      <c r="I40" s="82"/>
      <c r="J40" s="82"/>
      <c r="K40" s="82"/>
      <c r="L40" s="82"/>
      <c r="M40" s="82"/>
      <c r="N40" s="82"/>
      <c r="O40" s="82"/>
    </row>
    <row r="41" spans="1:15" ht="20.25">
      <c r="A41" s="102"/>
      <c r="B41" s="102"/>
      <c r="C41" s="104"/>
      <c r="D41" s="104"/>
      <c r="E41" s="82"/>
      <c r="F41" s="82"/>
      <c r="G41" s="82"/>
      <c r="H41" s="82"/>
      <c r="I41" s="82"/>
      <c r="J41" s="82"/>
      <c r="K41" s="82"/>
      <c r="L41" s="82"/>
      <c r="M41" s="82"/>
      <c r="N41" s="82"/>
      <c r="O41" s="82"/>
    </row>
    <row r="42" spans="1:15" ht="20.25">
      <c r="A42" s="102"/>
      <c r="B42" s="102"/>
      <c r="C42" s="104"/>
      <c r="D42" s="104"/>
      <c r="E42" s="82"/>
      <c r="F42" s="82"/>
      <c r="G42" s="82"/>
      <c r="H42" s="82"/>
      <c r="I42" s="82"/>
      <c r="J42" s="82"/>
      <c r="K42" s="82"/>
      <c r="L42" s="82"/>
      <c r="M42" s="82"/>
      <c r="N42" s="82"/>
      <c r="O42" s="82"/>
    </row>
    <row r="43" spans="1:15" ht="20.25">
      <c r="A43" s="102"/>
      <c r="B43" s="102"/>
      <c r="C43" s="104"/>
      <c r="D43" s="104"/>
      <c r="E43" s="82"/>
      <c r="F43" s="82"/>
      <c r="G43" s="82"/>
      <c r="H43" s="82"/>
      <c r="I43" s="82"/>
      <c r="J43" s="82"/>
      <c r="K43" s="82"/>
      <c r="L43" s="82"/>
      <c r="M43" s="82"/>
      <c r="N43" s="82"/>
      <c r="O43" s="82"/>
    </row>
    <row r="44" spans="1:15" ht="20.25">
      <c r="A44" s="102"/>
      <c r="B44" s="102"/>
      <c r="C44" s="104"/>
      <c r="D44" s="104"/>
      <c r="E44" s="82"/>
      <c r="F44" s="82"/>
      <c r="G44" s="82"/>
      <c r="H44" s="82"/>
      <c r="I44" s="82"/>
      <c r="J44" s="82"/>
      <c r="K44" s="82"/>
      <c r="L44" s="82"/>
      <c r="M44" s="82"/>
      <c r="N44" s="82"/>
      <c r="O44" s="82"/>
    </row>
    <row r="45" spans="1:15" ht="20.25">
      <c r="A45" s="102"/>
      <c r="B45" s="102"/>
      <c r="C45" s="104"/>
      <c r="D45" s="104"/>
      <c r="E45" s="82"/>
      <c r="F45" s="82"/>
      <c r="G45" s="82"/>
      <c r="H45" s="82"/>
      <c r="I45" s="82"/>
      <c r="J45" s="82"/>
      <c r="K45" s="82"/>
      <c r="L45" s="82"/>
      <c r="M45" s="82"/>
      <c r="N45" s="82"/>
      <c r="O45" s="82"/>
    </row>
    <row r="46" spans="1:15" ht="20.25">
      <c r="A46" s="102"/>
      <c r="B46" s="102"/>
      <c r="C46" s="104"/>
      <c r="D46" s="104"/>
      <c r="E46" s="82"/>
      <c r="F46" s="82"/>
      <c r="G46" s="82"/>
      <c r="H46" s="82"/>
      <c r="I46" s="82"/>
      <c r="J46" s="82"/>
      <c r="K46" s="82"/>
      <c r="L46" s="82"/>
      <c r="M46" s="82"/>
      <c r="N46" s="82"/>
      <c r="O46" s="82"/>
    </row>
    <row r="47" spans="1:15" ht="20.25">
      <c r="A47" s="102"/>
      <c r="B47" s="102"/>
      <c r="C47" s="104"/>
      <c r="D47" s="104"/>
      <c r="E47" s="82"/>
      <c r="F47" s="82"/>
      <c r="G47" s="82"/>
      <c r="H47" s="82"/>
      <c r="I47" s="82"/>
      <c r="J47" s="82"/>
      <c r="K47" s="82"/>
      <c r="L47" s="82"/>
      <c r="M47" s="82"/>
      <c r="N47" s="82"/>
      <c r="O47" s="82"/>
    </row>
    <row r="48" spans="1:15" ht="20.25">
      <c r="A48" s="102"/>
      <c r="B48" s="102"/>
      <c r="C48" s="104"/>
      <c r="D48" s="104"/>
      <c r="E48" s="82"/>
      <c r="F48" s="82"/>
      <c r="G48" s="82"/>
      <c r="H48" s="82"/>
      <c r="I48" s="82"/>
      <c r="J48" s="82"/>
      <c r="K48" s="82"/>
      <c r="L48" s="82"/>
      <c r="M48" s="82"/>
      <c r="N48" s="82"/>
      <c r="O48" s="82"/>
    </row>
    <row r="49" spans="1:15" ht="20.25">
      <c r="A49" s="102"/>
      <c r="B49" s="102"/>
      <c r="C49" s="104"/>
      <c r="D49" s="104"/>
      <c r="E49" s="82"/>
      <c r="F49" s="82"/>
      <c r="G49" s="82"/>
      <c r="H49" s="82"/>
      <c r="I49" s="82"/>
      <c r="J49" s="82"/>
      <c r="K49" s="82"/>
      <c r="L49" s="82"/>
      <c r="M49" s="82"/>
      <c r="N49" s="82"/>
      <c r="O49" s="82"/>
    </row>
    <row r="50" spans="1:15" ht="20.25">
      <c r="A50" s="102"/>
      <c r="B50" s="102"/>
      <c r="C50" s="104"/>
      <c r="D50" s="104"/>
      <c r="E50" s="82"/>
      <c r="F50" s="82"/>
      <c r="G50" s="82"/>
      <c r="H50" s="82"/>
      <c r="I50" s="82"/>
      <c r="J50" s="82"/>
      <c r="K50" s="82"/>
      <c r="L50" s="82"/>
      <c r="M50" s="82"/>
      <c r="N50" s="82"/>
      <c r="O50" s="82"/>
    </row>
    <row r="51" spans="1:15" ht="20.25">
      <c r="A51" s="102"/>
      <c r="B51" s="102"/>
      <c r="C51" s="104"/>
      <c r="D51" s="104"/>
      <c r="E51" s="82"/>
      <c r="F51" s="82"/>
      <c r="G51" s="82"/>
      <c r="H51" s="82"/>
      <c r="I51" s="82"/>
      <c r="J51" s="82"/>
      <c r="K51" s="82"/>
      <c r="L51" s="82"/>
      <c r="M51" s="82"/>
      <c r="N51" s="82"/>
      <c r="O51" s="82"/>
    </row>
    <row r="52" spans="1:15" ht="20.25">
      <c r="A52" s="102"/>
      <c r="B52" s="22"/>
      <c r="C52" s="33"/>
      <c r="D52" s="33"/>
    </row>
    <row r="53" spans="1:15" ht="20.25">
      <c r="A53" s="102"/>
      <c r="B53" s="22"/>
      <c r="C53" s="33"/>
      <c r="D53" s="33"/>
    </row>
    <row r="54" spans="1:15" ht="20.25">
      <c r="A54" s="102"/>
      <c r="B54" s="22"/>
      <c r="C54" s="33"/>
      <c r="D54" s="33"/>
    </row>
    <row r="55" spans="1:15" ht="20.25">
      <c r="A55" s="102"/>
      <c r="B55" s="22"/>
      <c r="C55" s="33"/>
      <c r="D55" s="33"/>
    </row>
    <row r="56" spans="1:15" ht="20.25">
      <c r="A56" s="102"/>
      <c r="B56" s="22"/>
      <c r="C56" s="33"/>
      <c r="D56" s="33"/>
    </row>
    <row r="57" spans="1:15" ht="20.25">
      <c r="A57" s="102"/>
      <c r="B57" s="22"/>
      <c r="C57" s="33"/>
      <c r="D57" s="33"/>
    </row>
    <row r="58" spans="1:15" ht="20.25">
      <c r="A58" s="102"/>
      <c r="B58" s="22"/>
      <c r="C58" s="33"/>
      <c r="D58" s="33"/>
    </row>
    <row r="59" spans="1:15" ht="20.25">
      <c r="A59" s="102"/>
      <c r="B59" s="22"/>
      <c r="C59" s="33"/>
      <c r="D59" s="33"/>
    </row>
    <row r="60" spans="1:15" ht="20.25">
      <c r="A60" s="102"/>
      <c r="B60" s="22"/>
      <c r="C60" s="33"/>
      <c r="D60" s="33"/>
    </row>
    <row r="61" spans="1:15" ht="20.25">
      <c r="A61" s="102"/>
      <c r="B61" s="22"/>
      <c r="C61" s="33"/>
      <c r="D61" s="33"/>
    </row>
    <row r="62" spans="1:15" ht="20.25">
      <c r="A62" s="102"/>
      <c r="B62" s="22"/>
      <c r="C62" s="33"/>
      <c r="D62" s="33"/>
    </row>
    <row r="63" spans="1:15" ht="20.25">
      <c r="A63" s="102"/>
      <c r="B63" s="22"/>
      <c r="C63" s="33"/>
      <c r="D63" s="33"/>
    </row>
    <row r="64" spans="1:15" ht="20.25">
      <c r="A64" s="102"/>
      <c r="B64" s="22"/>
      <c r="C64" s="33"/>
      <c r="D64" s="33"/>
    </row>
    <row r="65" spans="1:4" ht="20.25">
      <c r="A65" s="102"/>
      <c r="B65" s="22"/>
      <c r="C65" s="33"/>
      <c r="D65" s="33"/>
    </row>
    <row r="66" spans="1:4" ht="20.25">
      <c r="A66" s="102"/>
      <c r="B66" s="22"/>
      <c r="C66" s="33"/>
      <c r="D66" s="33"/>
    </row>
    <row r="67" spans="1:4" ht="20.25">
      <c r="A67" s="102"/>
      <c r="B67" s="22"/>
      <c r="C67" s="33"/>
      <c r="D67" s="33"/>
    </row>
    <row r="68" spans="1:4" ht="20.25">
      <c r="A68" s="102"/>
      <c r="B68" s="22"/>
      <c r="C68" s="33"/>
      <c r="D68" s="33"/>
    </row>
    <row r="69" spans="1:4" ht="20.25">
      <c r="A69" s="102"/>
      <c r="B69" s="22"/>
      <c r="C69" s="33"/>
      <c r="D69" s="33"/>
    </row>
    <row r="70" spans="1:4" ht="20.25">
      <c r="A70" s="102"/>
      <c r="B70" s="22"/>
      <c r="C70" s="33"/>
      <c r="D70" s="33"/>
    </row>
    <row r="71" spans="1:4" ht="20.25">
      <c r="A71" s="102"/>
      <c r="B71" s="22"/>
      <c r="C71" s="33"/>
      <c r="D71" s="33"/>
    </row>
    <row r="72" spans="1:4" ht="20.25">
      <c r="A72" s="102"/>
      <c r="B72" s="22"/>
      <c r="C72" s="33"/>
      <c r="D72" s="33"/>
    </row>
    <row r="73" spans="1:4" ht="20.25">
      <c r="A73" s="102"/>
      <c r="B73" s="22"/>
      <c r="C73" s="33"/>
      <c r="D73" s="33"/>
    </row>
    <row r="74" spans="1:4" ht="20.25">
      <c r="A74" s="102"/>
      <c r="B74" s="22"/>
      <c r="C74" s="33"/>
      <c r="D74" s="33"/>
    </row>
    <row r="75" spans="1:4" ht="20.25">
      <c r="A75" s="102"/>
      <c r="B75" s="22"/>
      <c r="C75" s="33"/>
      <c r="D75" s="33"/>
    </row>
    <row r="76" spans="1:4" ht="20.25">
      <c r="A76" s="102"/>
      <c r="B76" s="22"/>
      <c r="C76" s="33"/>
      <c r="D76" s="33"/>
    </row>
    <row r="77" spans="1:4" ht="20.25">
      <c r="A77" s="102"/>
      <c r="B77" s="22"/>
      <c r="C77" s="33"/>
      <c r="D77" s="33"/>
    </row>
    <row r="78" spans="1:4" ht="20.25">
      <c r="A78" s="102"/>
      <c r="B78" s="22"/>
      <c r="C78" s="33"/>
      <c r="D78" s="33"/>
    </row>
    <row r="79" spans="1:4" ht="20.25">
      <c r="A79" s="102"/>
      <c r="B79" s="22"/>
      <c r="C79" s="33"/>
      <c r="D79" s="33"/>
    </row>
    <row r="80" spans="1:4" ht="20.25">
      <c r="A80" s="102"/>
      <c r="B80" s="22"/>
      <c r="C80" s="33"/>
      <c r="D80" s="33"/>
    </row>
    <row r="81" spans="1:4" ht="20.25">
      <c r="A81" s="102"/>
      <c r="B81" s="22"/>
      <c r="C81" s="33"/>
      <c r="D81" s="33"/>
    </row>
    <row r="82" spans="1:4" ht="20.25">
      <c r="A82" s="102"/>
      <c r="B82" s="22"/>
      <c r="C82" s="33"/>
      <c r="D82" s="33"/>
    </row>
    <row r="83" spans="1:4" ht="20.25">
      <c r="A83" s="102"/>
      <c r="B83" s="22"/>
      <c r="C83" s="33"/>
      <c r="D83" s="33"/>
    </row>
    <row r="84" spans="1:4" ht="20.25">
      <c r="A84" s="102"/>
      <c r="B84" s="22"/>
      <c r="C84" s="33"/>
      <c r="D84" s="33"/>
    </row>
    <row r="85" spans="1:4" ht="20.25">
      <c r="A85" s="102"/>
      <c r="B85" s="22"/>
      <c r="C85" s="33"/>
      <c r="D85" s="33"/>
    </row>
    <row r="86" spans="1:4" ht="20.25">
      <c r="A86" s="102"/>
      <c r="B86" s="22"/>
      <c r="C86" s="33"/>
      <c r="D86" s="33"/>
    </row>
    <row r="87" spans="1:4" ht="20.25">
      <c r="A87" s="102"/>
      <c r="B87" s="22"/>
      <c r="C87" s="33"/>
      <c r="D87" s="33"/>
    </row>
    <row r="88" spans="1:4" ht="20.25">
      <c r="A88" s="102"/>
      <c r="B88" s="22"/>
      <c r="C88" s="33"/>
      <c r="D88" s="33"/>
    </row>
    <row r="89" spans="1:4" ht="20.25">
      <c r="A89" s="102"/>
      <c r="B89" s="22"/>
      <c r="C89" s="33"/>
      <c r="D89" s="33"/>
    </row>
    <row r="90" spans="1:4" ht="20.25">
      <c r="A90" s="102"/>
      <c r="B90" s="22"/>
      <c r="C90" s="33"/>
      <c r="D90" s="33"/>
    </row>
    <row r="91" spans="1:4" ht="20.25">
      <c r="A91" s="102"/>
      <c r="B91" s="22"/>
      <c r="C91" s="33"/>
      <c r="D91" s="33"/>
    </row>
    <row r="92" spans="1:4" ht="20.25">
      <c r="A92" s="102"/>
      <c r="B92" s="22"/>
      <c r="C92" s="33"/>
      <c r="D92" s="33"/>
    </row>
    <row r="93" spans="1:4" ht="20.25">
      <c r="A93" s="102"/>
      <c r="B93" s="22"/>
      <c r="C93" s="33"/>
      <c r="D93" s="33"/>
    </row>
    <row r="94" spans="1:4" ht="20.25">
      <c r="A94" s="102"/>
      <c r="B94" s="22"/>
      <c r="C94" s="33"/>
      <c r="D94" s="33"/>
    </row>
    <row r="95" spans="1:4" ht="20.25">
      <c r="A95" s="102"/>
      <c r="B95" s="22"/>
      <c r="C95" s="33"/>
      <c r="D95" s="33"/>
    </row>
    <row r="96" spans="1:4" ht="20.25">
      <c r="A96" s="102"/>
      <c r="B96" s="22"/>
      <c r="C96" s="33"/>
      <c r="D96" s="33"/>
    </row>
    <row r="97" spans="1:4" ht="20.25">
      <c r="A97" s="102"/>
      <c r="B97" s="22"/>
      <c r="C97" s="33"/>
      <c r="D97" s="33"/>
    </row>
    <row r="98" spans="1:4" ht="20.25">
      <c r="A98" s="102"/>
      <c r="B98" s="22"/>
      <c r="C98" s="33"/>
      <c r="D98" s="33"/>
    </row>
    <row r="99" spans="1:4" ht="20.25">
      <c r="A99" s="102"/>
      <c r="B99" s="22"/>
      <c r="C99" s="33"/>
      <c r="D99" s="33"/>
    </row>
    <row r="100" spans="1:4" ht="20.25">
      <c r="A100" s="102"/>
      <c r="B100" s="22"/>
      <c r="C100" s="33"/>
      <c r="D100" s="33"/>
    </row>
    <row r="101" spans="1:4" ht="20.25">
      <c r="A101" s="102"/>
      <c r="B101" s="22"/>
      <c r="C101" s="33"/>
      <c r="D101" s="33"/>
    </row>
    <row r="102" spans="1:4" ht="20.25">
      <c r="A102" s="102"/>
      <c r="B102" s="22"/>
      <c r="C102" s="33"/>
      <c r="D102" s="33"/>
    </row>
    <row r="103" spans="1:4" ht="20.25">
      <c r="A103" s="102"/>
      <c r="B103" s="22"/>
      <c r="C103" s="33"/>
      <c r="D103" s="33"/>
    </row>
    <row r="104" spans="1:4" ht="20.25">
      <c r="A104" s="102"/>
      <c r="B104" s="22"/>
      <c r="C104" s="33"/>
      <c r="D104" s="33"/>
    </row>
    <row r="105" spans="1:4" ht="20.25">
      <c r="A105" s="102"/>
      <c r="B105" s="22"/>
      <c r="C105" s="33"/>
      <c r="D105" s="33"/>
    </row>
    <row r="106" spans="1:4" ht="20.25">
      <c r="A106" s="102"/>
      <c r="B106" s="22"/>
      <c r="C106" s="33"/>
      <c r="D106" s="33"/>
    </row>
    <row r="107" spans="1:4" ht="20.25">
      <c r="A107" s="102"/>
      <c r="B107" s="22"/>
      <c r="C107" s="33"/>
      <c r="D107" s="33"/>
    </row>
    <row r="108" spans="1:4" ht="20.25">
      <c r="A108" s="102"/>
      <c r="B108" s="22"/>
      <c r="C108" s="33"/>
      <c r="D108" s="33"/>
    </row>
    <row r="109" spans="1:4" ht="20.25">
      <c r="A109" s="102"/>
      <c r="B109" s="22"/>
      <c r="C109" s="33"/>
      <c r="D109" s="33"/>
    </row>
    <row r="110" spans="1:4" ht="20.25">
      <c r="A110" s="102"/>
      <c r="B110" s="22"/>
      <c r="C110" s="33"/>
      <c r="D110" s="33"/>
    </row>
    <row r="111" spans="1:4" ht="20.25">
      <c r="A111" s="102"/>
      <c r="B111" s="22"/>
      <c r="C111" s="33"/>
      <c r="D111" s="33"/>
    </row>
    <row r="112" spans="1:4" ht="20.25">
      <c r="A112" s="102"/>
      <c r="B112" s="22"/>
      <c r="C112" s="33"/>
      <c r="D112" s="33"/>
    </row>
    <row r="113" spans="1:4" ht="20.25">
      <c r="A113" s="102"/>
      <c r="B113" s="22"/>
      <c r="C113" s="33"/>
      <c r="D113" s="33"/>
    </row>
    <row r="114" spans="1:4" ht="20.25">
      <c r="A114" s="102"/>
      <c r="B114" s="22"/>
      <c r="C114" s="33"/>
      <c r="D114" s="33"/>
    </row>
    <row r="115" spans="1:4" ht="20.25">
      <c r="A115" s="102"/>
      <c r="B115" s="22"/>
      <c r="C115" s="33"/>
      <c r="D115" s="33"/>
    </row>
    <row r="116" spans="1:4" ht="20.25">
      <c r="A116" s="102"/>
      <c r="B116" s="22"/>
      <c r="C116" s="33"/>
      <c r="D116" s="33"/>
    </row>
    <row r="117" spans="1:4" ht="20.25">
      <c r="A117" s="102"/>
      <c r="B117" s="22"/>
      <c r="C117" s="33"/>
      <c r="D117" s="33"/>
    </row>
    <row r="118" spans="1:4" ht="20.25">
      <c r="A118" s="102"/>
      <c r="B118" s="22"/>
      <c r="C118" s="33"/>
      <c r="D118" s="33"/>
    </row>
    <row r="119" spans="1:4" ht="20.25">
      <c r="A119" s="102"/>
      <c r="B119" s="22"/>
      <c r="C119" s="33"/>
      <c r="D119" s="33"/>
    </row>
    <row r="120" spans="1:4" ht="20.25">
      <c r="A120" s="102"/>
      <c r="B120" s="22"/>
      <c r="C120" s="33"/>
      <c r="D120" s="33"/>
    </row>
    <row r="121" spans="1:4" ht="20.25">
      <c r="A121" s="102"/>
      <c r="B121" s="22"/>
      <c r="C121" s="33"/>
      <c r="D121" s="33"/>
    </row>
    <row r="122" spans="1:4" ht="20.25">
      <c r="A122" s="102"/>
      <c r="B122" s="22"/>
      <c r="C122" s="33"/>
      <c r="D122" s="33"/>
    </row>
    <row r="123" spans="1:4" ht="20.25">
      <c r="A123" s="102"/>
      <c r="B123" s="22"/>
      <c r="C123" s="33"/>
      <c r="D123" s="33"/>
    </row>
    <row r="124" spans="1:4" ht="20.25">
      <c r="A124" s="102"/>
      <c r="B124" s="22"/>
      <c r="C124" s="33"/>
      <c r="D124" s="33"/>
    </row>
    <row r="125" spans="1:4" ht="20.25">
      <c r="A125" s="102"/>
      <c r="B125" s="22"/>
      <c r="C125" s="33"/>
      <c r="D125" s="33"/>
    </row>
    <row r="126" spans="1:4" ht="20.25">
      <c r="A126" s="102"/>
      <c r="B126" s="22"/>
      <c r="C126" s="33"/>
      <c r="D126" s="33"/>
    </row>
    <row r="127" spans="1:4" ht="20.25">
      <c r="A127" s="102"/>
      <c r="B127" s="22"/>
      <c r="C127" s="33"/>
      <c r="D127" s="33"/>
    </row>
    <row r="128" spans="1:4" ht="20.25">
      <c r="A128" s="102"/>
      <c r="B128" s="22"/>
      <c r="C128" s="33"/>
      <c r="D128" s="33"/>
    </row>
    <row r="129" spans="1:4" ht="20.25">
      <c r="A129" s="102"/>
      <c r="B129" s="22"/>
      <c r="C129" s="33"/>
      <c r="D129" s="33"/>
    </row>
    <row r="130" spans="1:4" ht="20.25">
      <c r="A130" s="102"/>
      <c r="B130" s="22"/>
      <c r="C130" s="33"/>
      <c r="D130" s="33"/>
    </row>
    <row r="131" spans="1:4" ht="20.25">
      <c r="A131" s="102"/>
      <c r="B131" s="22"/>
      <c r="C131" s="33"/>
      <c r="D131" s="33"/>
    </row>
    <row r="132" spans="1:4" ht="20.25">
      <c r="A132" s="102"/>
      <c r="B132" s="22"/>
      <c r="C132" s="33"/>
      <c r="D132" s="33"/>
    </row>
    <row r="133" spans="1:4" ht="20.25">
      <c r="A133" s="102"/>
      <c r="B133" s="22"/>
      <c r="C133" s="33"/>
      <c r="D133" s="33"/>
    </row>
    <row r="134" spans="1:4" ht="20.25">
      <c r="A134" s="102"/>
      <c r="B134" s="22"/>
      <c r="C134" s="33"/>
      <c r="D134" s="33"/>
    </row>
    <row r="135" spans="1:4" ht="20.25">
      <c r="A135" s="102"/>
      <c r="B135" s="22"/>
      <c r="C135" s="33"/>
      <c r="D135" s="33"/>
    </row>
    <row r="136" spans="1:4" ht="20.25">
      <c r="A136" s="102"/>
      <c r="B136" s="22"/>
      <c r="C136" s="33"/>
      <c r="D136" s="33"/>
    </row>
    <row r="137" spans="1:4" ht="20.25">
      <c r="A137" s="102"/>
      <c r="B137" s="22"/>
      <c r="C137" s="33"/>
      <c r="D137" s="33"/>
    </row>
    <row r="138" spans="1:4" ht="20.25">
      <c r="A138" s="102"/>
      <c r="B138" s="22"/>
      <c r="C138" s="33"/>
      <c r="D138" s="33"/>
    </row>
    <row r="139" spans="1:4" ht="20.25">
      <c r="A139" s="102"/>
      <c r="B139" s="22"/>
      <c r="C139" s="33"/>
      <c r="D139" s="33"/>
    </row>
    <row r="140" spans="1:4" ht="20.25">
      <c r="A140" s="102"/>
      <c r="B140" s="22"/>
      <c r="C140" s="33"/>
      <c r="D140" s="33"/>
    </row>
    <row r="141" spans="1:4" ht="20.25">
      <c r="A141" s="102"/>
      <c r="B141" s="22"/>
      <c r="C141" s="33"/>
      <c r="D141" s="33"/>
    </row>
    <row r="142" spans="1:4" ht="20.25">
      <c r="A142" s="102"/>
      <c r="B142" s="22"/>
      <c r="C142" s="33"/>
      <c r="D142" s="33"/>
    </row>
    <row r="143" spans="1:4" ht="20.25">
      <c r="A143" s="102"/>
      <c r="B143" s="22"/>
      <c r="C143" s="33"/>
      <c r="D143" s="33"/>
    </row>
    <row r="144" spans="1:4" ht="20.25">
      <c r="A144" s="102"/>
      <c r="B144" s="22"/>
      <c r="C144" s="33"/>
      <c r="D144" s="33"/>
    </row>
    <row r="145" spans="1:4" ht="20.25">
      <c r="A145" s="102"/>
      <c r="B145" s="22"/>
      <c r="C145" s="33"/>
      <c r="D145" s="33"/>
    </row>
    <row r="146" spans="1:4" ht="20.25">
      <c r="A146" s="102"/>
      <c r="B146" s="22"/>
      <c r="C146" s="33"/>
      <c r="D146" s="33"/>
    </row>
    <row r="147" spans="1:4" ht="20.25">
      <c r="A147" s="102"/>
      <c r="B147" s="22"/>
      <c r="C147" s="33"/>
      <c r="D147" s="33"/>
    </row>
    <row r="148" spans="1:4" ht="20.25">
      <c r="A148" s="102"/>
      <c r="B148" s="22"/>
      <c r="C148" s="33"/>
      <c r="D148" s="33"/>
    </row>
    <row r="149" spans="1:4" ht="20.25">
      <c r="A149" s="102"/>
      <c r="B149" s="22"/>
      <c r="C149" s="33"/>
      <c r="D149" s="33"/>
    </row>
    <row r="150" spans="1:4" ht="20.25">
      <c r="A150" s="102"/>
      <c r="B150" s="22"/>
      <c r="C150" s="33"/>
      <c r="D150" s="33"/>
    </row>
    <row r="151" spans="1:4" ht="20.25">
      <c r="A151" s="102"/>
      <c r="B151" s="22"/>
      <c r="C151" s="33"/>
      <c r="D151" s="33"/>
    </row>
    <row r="152" spans="1:4" ht="20.25">
      <c r="A152" s="102"/>
      <c r="B152" s="22"/>
      <c r="C152" s="33"/>
      <c r="D152" s="33"/>
    </row>
    <row r="153" spans="1:4" ht="20.25">
      <c r="A153" s="102"/>
      <c r="B153" s="22"/>
      <c r="C153" s="33"/>
      <c r="D153" s="33"/>
    </row>
    <row r="154" spans="1:4" ht="20.25">
      <c r="A154" s="102"/>
      <c r="B154" s="22"/>
      <c r="C154" s="33"/>
      <c r="D154" s="33"/>
    </row>
    <row r="155" spans="1:4" ht="20.25">
      <c r="A155" s="102"/>
      <c r="B155" s="22"/>
      <c r="C155" s="33"/>
      <c r="D155" s="33"/>
    </row>
    <row r="156" spans="1:4" ht="20.25">
      <c r="A156" s="102"/>
      <c r="B156" s="22"/>
      <c r="C156" s="33"/>
      <c r="D156" s="33"/>
    </row>
    <row r="157" spans="1:4" ht="20.25">
      <c r="A157" s="102"/>
      <c r="B157" s="22"/>
      <c r="C157" s="33"/>
      <c r="D157" s="33"/>
    </row>
    <row r="158" spans="1:4" ht="20.25">
      <c r="A158" s="102"/>
      <c r="B158" s="22"/>
      <c r="C158" s="33"/>
      <c r="D158" s="33"/>
    </row>
    <row r="159" spans="1:4" ht="20.25">
      <c r="A159" s="102"/>
      <c r="B159" s="22"/>
      <c r="C159" s="33"/>
      <c r="D159" s="33"/>
    </row>
    <row r="160" spans="1:4" ht="20.25">
      <c r="A160" s="102"/>
      <c r="B160" s="22"/>
      <c r="C160" s="33"/>
      <c r="D160" s="33"/>
    </row>
    <row r="161" spans="1:4" ht="20.25">
      <c r="A161" s="102"/>
      <c r="B161" s="22"/>
      <c r="C161" s="33"/>
      <c r="D161" s="33"/>
    </row>
    <row r="162" spans="1:4" ht="20.25">
      <c r="A162" s="102"/>
      <c r="B162" s="22"/>
      <c r="C162" s="33"/>
      <c r="D162" s="33"/>
    </row>
    <row r="163" spans="1:4" ht="20.25">
      <c r="A163" s="102"/>
      <c r="B163" s="22"/>
      <c r="C163" s="33"/>
      <c r="D163" s="33"/>
    </row>
    <row r="164" spans="1:4" ht="20.25">
      <c r="A164" s="102"/>
      <c r="B164" s="22"/>
      <c r="C164" s="33"/>
      <c r="D164" s="33"/>
    </row>
    <row r="165" spans="1:4" ht="20.25">
      <c r="A165" s="102"/>
      <c r="B165" s="22"/>
      <c r="C165" s="33"/>
      <c r="D165" s="33"/>
    </row>
    <row r="166" spans="1:4" ht="20.25">
      <c r="A166" s="102"/>
      <c r="B166" s="22"/>
      <c r="C166" s="33"/>
      <c r="D166" s="33"/>
    </row>
    <row r="167" spans="1:4" ht="20.25">
      <c r="A167" s="102"/>
      <c r="B167" s="22"/>
      <c r="C167" s="33"/>
      <c r="D167" s="33"/>
    </row>
    <row r="168" spans="1:4" ht="20.25">
      <c r="A168" s="102"/>
      <c r="B168" s="22"/>
      <c r="C168" s="33"/>
      <c r="D168" s="33"/>
    </row>
    <row r="169" spans="1:4" ht="20.25">
      <c r="A169" s="102"/>
      <c r="B169" s="22"/>
      <c r="C169" s="33"/>
      <c r="D169" s="33"/>
    </row>
    <row r="170" spans="1:4" ht="20.25">
      <c r="A170" s="102"/>
      <c r="B170" s="22"/>
      <c r="C170" s="33"/>
      <c r="D170" s="33"/>
    </row>
    <row r="171" spans="1:4" ht="20.25">
      <c r="A171" s="102"/>
      <c r="B171" s="22"/>
      <c r="C171" s="33"/>
      <c r="D171" s="33"/>
    </row>
    <row r="172" spans="1:4" ht="20.25">
      <c r="A172" s="102"/>
      <c r="B172" s="22"/>
      <c r="C172" s="33"/>
      <c r="D172" s="33"/>
    </row>
    <row r="173" spans="1:4" ht="20.25">
      <c r="A173" s="102"/>
      <c r="B173" s="22"/>
      <c r="C173" s="33"/>
      <c r="D173" s="33"/>
    </row>
    <row r="174" spans="1:4" ht="20.25">
      <c r="A174" s="102"/>
      <c r="B174" s="22"/>
      <c r="C174" s="33"/>
      <c r="D174" s="33"/>
    </row>
    <row r="175" spans="1:4" ht="20.25">
      <c r="A175" s="102"/>
      <c r="B175" s="22"/>
      <c r="C175" s="33"/>
      <c r="D175" s="33"/>
    </row>
    <row r="176" spans="1:4" ht="20.25">
      <c r="A176" s="102"/>
      <c r="B176" s="22"/>
      <c r="C176" s="33"/>
      <c r="D176" s="33"/>
    </row>
    <row r="177" spans="1:4" ht="20.25">
      <c r="A177" s="102"/>
      <c r="B177" s="22"/>
      <c r="C177" s="33"/>
      <c r="D177" s="33"/>
    </row>
    <row r="178" spans="1:4" ht="20.25">
      <c r="A178" s="102"/>
      <c r="B178" s="22"/>
      <c r="C178" s="33"/>
      <c r="D178" s="33"/>
    </row>
    <row r="179" spans="1:4" ht="20.25">
      <c r="A179" s="102"/>
      <c r="B179" s="22"/>
      <c r="C179" s="33"/>
      <c r="D179" s="33"/>
    </row>
    <row r="180" spans="1:4" ht="20.25">
      <c r="A180" s="102"/>
      <c r="B180" s="22"/>
      <c r="C180" s="33"/>
      <c r="D180" s="33"/>
    </row>
    <row r="181" spans="1:4" ht="20.25">
      <c r="A181" s="102"/>
      <c r="B181" s="22"/>
      <c r="C181" s="33"/>
      <c r="D181" s="33"/>
    </row>
    <row r="182" spans="1:4" ht="20.25">
      <c r="A182" s="102"/>
      <c r="B182" s="22"/>
      <c r="C182" s="33"/>
      <c r="D182" s="33"/>
    </row>
    <row r="183" spans="1:4" ht="20.25">
      <c r="A183" s="102"/>
      <c r="B183" s="22"/>
      <c r="C183" s="33"/>
      <c r="D183" s="33"/>
    </row>
    <row r="184" spans="1:4" ht="20.25">
      <c r="A184" s="102"/>
      <c r="B184" s="22"/>
      <c r="C184" s="33"/>
      <c r="D184" s="33"/>
    </row>
    <row r="185" spans="1:4" ht="20.25">
      <c r="A185" s="102"/>
      <c r="B185" s="22"/>
      <c r="C185" s="33"/>
      <c r="D185" s="33"/>
    </row>
    <row r="186" spans="1:4" ht="20.25">
      <c r="A186" s="102"/>
      <c r="B186" s="22"/>
      <c r="C186" s="33"/>
      <c r="D186" s="33"/>
    </row>
    <row r="187" spans="1:4" ht="20.25">
      <c r="A187" s="102"/>
      <c r="B187" s="22"/>
      <c r="C187" s="33"/>
      <c r="D187" s="33"/>
    </row>
    <row r="188" spans="1:4" ht="20.25">
      <c r="A188" s="102"/>
      <c r="B188" s="22"/>
      <c r="C188" s="33"/>
      <c r="D188" s="33"/>
    </row>
    <row r="189" spans="1:4" ht="20.25">
      <c r="A189" s="102"/>
      <c r="B189" s="22"/>
      <c r="C189" s="33"/>
      <c r="D189" s="33"/>
    </row>
    <row r="190" spans="1:4" ht="20.25">
      <c r="A190" s="102"/>
      <c r="B190" s="22"/>
      <c r="C190" s="33"/>
      <c r="D190" s="33"/>
    </row>
    <row r="191" spans="1:4" ht="20.25">
      <c r="A191" s="102"/>
      <c r="B191" s="22"/>
      <c r="C191" s="33"/>
      <c r="D191" s="33"/>
    </row>
    <row r="192" spans="1:4" ht="20.25">
      <c r="A192" s="102"/>
      <c r="B192" s="22"/>
      <c r="C192" s="33"/>
      <c r="D192" s="33"/>
    </row>
    <row r="193" spans="1:4" ht="20.25">
      <c r="A193" s="102"/>
      <c r="B193" s="22"/>
      <c r="C193" s="33"/>
      <c r="D193" s="33"/>
    </row>
    <row r="194" spans="1:4" ht="20.25">
      <c r="A194" s="102"/>
      <c r="B194" s="22"/>
      <c r="C194" s="33"/>
      <c r="D194" s="33"/>
    </row>
    <row r="195" spans="1:4" ht="20.25">
      <c r="A195" s="102"/>
      <c r="B195" s="22"/>
      <c r="C195" s="33"/>
      <c r="D195" s="33"/>
    </row>
    <row r="196" spans="1:4" ht="20.25">
      <c r="A196" s="102"/>
      <c r="B196" s="22"/>
      <c r="C196" s="33"/>
      <c r="D196" s="33"/>
    </row>
    <row r="197" spans="1:4" ht="20.25">
      <c r="A197" s="102"/>
      <c r="B197" s="22"/>
      <c r="C197" s="33"/>
      <c r="D197" s="33"/>
    </row>
    <row r="198" spans="1:4" ht="20.25">
      <c r="A198" s="102"/>
      <c r="B198" s="22"/>
      <c r="C198" s="33"/>
      <c r="D198" s="33"/>
    </row>
    <row r="199" spans="1:4" ht="20.25">
      <c r="A199" s="102"/>
      <c r="B199" s="22"/>
      <c r="C199" s="33"/>
      <c r="D199" s="33"/>
    </row>
    <row r="200" spans="1:4" ht="20.25">
      <c r="A200" s="102"/>
      <c r="B200" s="22"/>
      <c r="C200" s="33"/>
      <c r="D200" s="33"/>
    </row>
    <row r="201" spans="1:4" ht="20.25">
      <c r="A201" s="102"/>
      <c r="B201" s="22"/>
      <c r="C201" s="33"/>
      <c r="D201" s="33"/>
    </row>
    <row r="202" spans="1:4" ht="20.25">
      <c r="A202" s="102"/>
      <c r="B202" s="22"/>
      <c r="C202" s="33"/>
      <c r="D202" s="33"/>
    </row>
    <row r="203" spans="1:4" ht="20.25">
      <c r="A203" s="102"/>
      <c r="B203" s="22"/>
      <c r="C203" s="33"/>
      <c r="D203" s="33"/>
    </row>
    <row r="204" spans="1:4" ht="20.25">
      <c r="A204" s="102"/>
      <c r="B204" s="22"/>
      <c r="C204" s="33"/>
      <c r="D204" s="33"/>
    </row>
    <row r="205" spans="1:4" ht="20.25">
      <c r="A205" s="102"/>
      <c r="B205" s="22"/>
      <c r="C205" s="33"/>
      <c r="D205" s="33"/>
    </row>
    <row r="206" spans="1:4" ht="20.25">
      <c r="A206" s="102"/>
      <c r="B206" s="22"/>
      <c r="C206" s="33"/>
      <c r="D206" s="33"/>
    </row>
    <row r="207" spans="1:4" ht="20.25">
      <c r="A207" s="102"/>
      <c r="B207" s="22"/>
      <c r="C207" s="33"/>
      <c r="D207" s="33"/>
    </row>
    <row r="208" spans="1:4">
      <c r="A208" s="82"/>
      <c r="B208" s="22"/>
      <c r="C208" s="22"/>
      <c r="D208" s="22"/>
    </row>
    <row r="209" spans="1:8" ht="20.25">
      <c r="A209" s="82"/>
      <c r="B209" s="29" t="s">
        <v>226</v>
      </c>
      <c r="C209" s="29" t="s">
        <v>227</v>
      </c>
      <c r="D209" s="32" t="s">
        <v>226</v>
      </c>
      <c r="E209" s="32" t="s">
        <v>227</v>
      </c>
    </row>
    <row r="210" spans="1:8" ht="21">
      <c r="A210" s="82"/>
      <c r="B210" s="30" t="s">
        <v>228</v>
      </c>
      <c r="C210" s="30" t="s">
        <v>229</v>
      </c>
      <c r="D210" t="s">
        <v>228</v>
      </c>
      <c r="F210" t="str">
        <f>IF(NOT(ISBLANK(D210)),D210,IF(NOT(ISBLANK(E210)),"     "&amp;E210,FALSE))</f>
        <v>Afectación Económica o presupuestal</v>
      </c>
      <c r="G210" t="s">
        <v>228</v>
      </c>
      <c r="H210" t="str">
        <f>IF(NOT(ISERROR(MATCH(G210,_xlfn.ANCHORARRAY(B221),0))),F223&amp;"Por favor no seleccionar los criterios de impacto",G210)</f>
        <v>❌Por favor no seleccionar los criterios de impacto</v>
      </c>
    </row>
    <row r="211" spans="1:8" ht="21">
      <c r="A211" s="82"/>
      <c r="B211" s="30" t="s">
        <v>228</v>
      </c>
      <c r="C211" s="30" t="s">
        <v>203</v>
      </c>
      <c r="E211" t="s">
        <v>229</v>
      </c>
      <c r="F211" t="str">
        <f t="shared" ref="F211:F221" si="0">IF(NOT(ISBLANK(D211)),D211,IF(NOT(ISBLANK(E211)),"     "&amp;E211,FALSE))</f>
        <v xml:space="preserve">     Afectación menor a 10 SMLMV .</v>
      </c>
    </row>
    <row r="212" spans="1:8" ht="21">
      <c r="A212" s="82"/>
      <c r="B212" s="30" t="s">
        <v>228</v>
      </c>
      <c r="C212" s="30" t="s">
        <v>206</v>
      </c>
      <c r="E212" t="s">
        <v>203</v>
      </c>
      <c r="F212" t="str">
        <f t="shared" si="0"/>
        <v xml:space="preserve">     Entre 10 y 50 SMLMV </v>
      </c>
    </row>
    <row r="213" spans="1:8" ht="21">
      <c r="A213" s="82"/>
      <c r="B213" s="30" t="s">
        <v>228</v>
      </c>
      <c r="C213" s="30" t="s">
        <v>210</v>
      </c>
      <c r="E213" t="s">
        <v>206</v>
      </c>
      <c r="F213" t="str">
        <f t="shared" si="0"/>
        <v xml:space="preserve">     Entre 50 y 100 SMLMV </v>
      </c>
    </row>
    <row r="214" spans="1:8" ht="21">
      <c r="A214" s="82"/>
      <c r="B214" s="30" t="s">
        <v>228</v>
      </c>
      <c r="C214" s="30" t="s">
        <v>214</v>
      </c>
      <c r="E214" t="s">
        <v>210</v>
      </c>
      <c r="F214" t="str">
        <f t="shared" si="0"/>
        <v xml:space="preserve">     Entre 100 y 500 SMLMV </v>
      </c>
    </row>
    <row r="215" spans="1:8" ht="21">
      <c r="A215" s="82"/>
      <c r="B215" s="30" t="s">
        <v>196</v>
      </c>
      <c r="C215" s="30" t="s">
        <v>200</v>
      </c>
      <c r="E215" t="s">
        <v>214</v>
      </c>
      <c r="F215" t="str">
        <f t="shared" si="0"/>
        <v xml:space="preserve">     Mayor a 500 SMLMV </v>
      </c>
    </row>
    <row r="216" spans="1:8" ht="21">
      <c r="A216" s="82"/>
      <c r="B216" s="30" t="s">
        <v>196</v>
      </c>
      <c r="C216" s="30" t="s">
        <v>204</v>
      </c>
      <c r="D216" t="s">
        <v>196</v>
      </c>
      <c r="F216" t="str">
        <f t="shared" si="0"/>
        <v>Pérdida Reputacional</v>
      </c>
    </row>
    <row r="217" spans="1:8" ht="21">
      <c r="A217" s="82"/>
      <c r="B217" s="30" t="s">
        <v>196</v>
      </c>
      <c r="C217" s="30" t="s">
        <v>207</v>
      </c>
      <c r="E217" t="s">
        <v>200</v>
      </c>
      <c r="F217" t="str">
        <f t="shared" si="0"/>
        <v xml:space="preserve">     El riesgo afecta la imagen de alguna área de la organización</v>
      </c>
    </row>
    <row r="218" spans="1:8" ht="21">
      <c r="A218" s="82"/>
      <c r="B218" s="30" t="s">
        <v>196</v>
      </c>
      <c r="C218" s="30" t="s">
        <v>211</v>
      </c>
      <c r="E218" t="s">
        <v>204</v>
      </c>
      <c r="F218" t="str">
        <f t="shared" si="0"/>
        <v xml:space="preserve">     El riesgo afecta la imagen de la entidad internamente, de conocimiento general, nivel interno, de junta dircetiva y accionistas y/o de provedores</v>
      </c>
    </row>
    <row r="219" spans="1:8" ht="21">
      <c r="A219" s="82"/>
      <c r="B219" s="30" t="s">
        <v>196</v>
      </c>
      <c r="C219" s="30" t="s">
        <v>215</v>
      </c>
      <c r="E219" t="s">
        <v>207</v>
      </c>
      <c r="F219" t="str">
        <f t="shared" si="0"/>
        <v xml:space="preserve">     El riesgo afecta la imagen de la entidad con algunos usuarios de relevancia frente al logro de los objetivos</v>
      </c>
    </row>
    <row r="220" spans="1:8">
      <c r="A220" s="82"/>
      <c r="B220" s="31"/>
      <c r="C220" s="31"/>
      <c r="E220" t="s">
        <v>211</v>
      </c>
      <c r="F220" t="str">
        <f t="shared" si="0"/>
        <v xml:space="preserve">     El riesgo afecta la imagen de de la entidad con efecto publicitario sostenido a nivel de sector administrativo, nivel departamental o municipal</v>
      </c>
    </row>
    <row r="221" spans="1:8">
      <c r="A221" s="82"/>
      <c r="B221" s="31" t="str" cm="1">
        <f t="array" ref="B221:B223">_xlfn.UNIQUE(Tabla1[[#All],[Criterios]])</f>
        <v>Criterios</v>
      </c>
      <c r="C221" s="31"/>
      <c r="E221" t="s">
        <v>215</v>
      </c>
      <c r="F221" t="str">
        <f t="shared" si="0"/>
        <v xml:space="preserve">     El riesgo afecta la imagen de la entidad a nivel nacional, con efecto publicitarios sostenible a nivel país</v>
      </c>
    </row>
    <row r="222" spans="1:8">
      <c r="A222" s="82"/>
      <c r="B222" s="31" t="str">
        <v>Afectación Económica o presupuestal</v>
      </c>
      <c r="C222" s="31"/>
    </row>
    <row r="223" spans="1:8">
      <c r="B223" s="31" t="str">
        <v>Pérdida Reputacional</v>
      </c>
      <c r="C223" s="31"/>
      <c r="F223" s="34" t="s">
        <v>230</v>
      </c>
    </row>
    <row r="224" spans="1:8">
      <c r="B224" s="21"/>
      <c r="C224" s="21"/>
      <c r="F224" s="34" t="s">
        <v>231</v>
      </c>
    </row>
    <row r="225" spans="2:4">
      <c r="B225" s="21"/>
      <c r="C225" s="21"/>
    </row>
    <row r="226" spans="2:4">
      <c r="B226" s="21"/>
      <c r="C226" s="21"/>
    </row>
    <row r="227" spans="2:4">
      <c r="B227" s="21"/>
      <c r="C227" s="21"/>
      <c r="D227" s="21"/>
    </row>
    <row r="228" spans="2:4">
      <c r="B228" s="21"/>
      <c r="C228" s="21"/>
      <c r="D228" s="21"/>
    </row>
    <row r="229" spans="2:4">
      <c r="B229" s="21"/>
      <c r="C229" s="21"/>
      <c r="D229" s="21"/>
    </row>
    <row r="230" spans="2:4">
      <c r="B230" s="21"/>
      <c r="C230" s="21"/>
      <c r="D230" s="21"/>
    </row>
    <row r="231" spans="2:4">
      <c r="B231" s="21"/>
      <c r="C231" s="21"/>
      <c r="D231" s="21"/>
    </row>
    <row r="232" spans="2:4">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zoomScale="70" zoomScaleNormal="70" workbookViewId="0">
      <selection activeCell="E10" sqref="E10"/>
    </sheetView>
  </sheetViews>
  <sheetFormatPr defaultColWidth="14.28515625" defaultRowHeight="12.75"/>
  <cols>
    <col min="1" max="2" width="14.28515625" style="87"/>
    <col min="3" max="3" width="17" style="87" customWidth="1"/>
    <col min="4" max="4" width="14.28515625" style="87"/>
    <col min="5" max="5" width="79.5703125" style="87" customWidth="1"/>
    <col min="6" max="16384" width="14.28515625" style="87"/>
  </cols>
  <sheetData>
    <row r="1" spans="2:6" ht="24" customHeight="1" thickBot="1">
      <c r="B1" s="377" t="s">
        <v>232</v>
      </c>
      <c r="C1" s="378"/>
      <c r="D1" s="378"/>
      <c r="E1" s="378"/>
      <c r="F1" s="379"/>
    </row>
    <row r="2" spans="2:6" ht="16.5" thickBot="1">
      <c r="B2" s="88"/>
      <c r="C2" s="88"/>
      <c r="D2" s="88"/>
      <c r="E2" s="88"/>
      <c r="F2" s="88"/>
    </row>
    <row r="3" spans="2:6" ht="16.5" thickBot="1">
      <c r="B3" s="381" t="s">
        <v>233</v>
      </c>
      <c r="C3" s="382"/>
      <c r="D3" s="382"/>
      <c r="E3" s="100" t="s">
        <v>234</v>
      </c>
      <c r="F3" s="101" t="s">
        <v>235</v>
      </c>
    </row>
    <row r="4" spans="2:6" ht="15.75">
      <c r="B4" s="383" t="s">
        <v>236</v>
      </c>
      <c r="C4" s="385" t="s">
        <v>89</v>
      </c>
      <c r="D4" s="89" t="s">
        <v>102</v>
      </c>
      <c r="E4" s="90" t="s">
        <v>237</v>
      </c>
      <c r="F4" s="91">
        <v>0.25</v>
      </c>
    </row>
    <row r="5" spans="2:6" ht="41.25" customHeight="1">
      <c r="B5" s="384"/>
      <c r="C5" s="386"/>
      <c r="D5" s="92" t="s">
        <v>238</v>
      </c>
      <c r="E5" s="93" t="s">
        <v>239</v>
      </c>
      <c r="F5" s="94">
        <v>0.15</v>
      </c>
    </row>
    <row r="6" spans="2:6" ht="41.25" customHeight="1">
      <c r="B6" s="384"/>
      <c r="C6" s="386"/>
      <c r="D6" s="92" t="s">
        <v>240</v>
      </c>
      <c r="E6" s="93" t="s">
        <v>241</v>
      </c>
      <c r="F6" s="94">
        <v>0.1</v>
      </c>
    </row>
    <row r="7" spans="2:6" ht="58.5" customHeight="1">
      <c r="B7" s="384"/>
      <c r="C7" s="386" t="s">
        <v>90</v>
      </c>
      <c r="D7" s="92" t="s">
        <v>133</v>
      </c>
      <c r="E7" s="93" t="s">
        <v>242</v>
      </c>
      <c r="F7" s="94">
        <v>0.25</v>
      </c>
    </row>
    <row r="8" spans="2:6" ht="15.75">
      <c r="B8" s="384"/>
      <c r="C8" s="386"/>
      <c r="D8" s="92" t="s">
        <v>103</v>
      </c>
      <c r="E8" s="93" t="s">
        <v>243</v>
      </c>
      <c r="F8" s="94">
        <v>0.15</v>
      </c>
    </row>
    <row r="9" spans="2:6" ht="41.25" customHeight="1">
      <c r="B9" s="384" t="s">
        <v>244</v>
      </c>
      <c r="C9" s="386" t="s">
        <v>92</v>
      </c>
      <c r="D9" s="92" t="s">
        <v>104</v>
      </c>
      <c r="E9" s="93" t="s">
        <v>245</v>
      </c>
      <c r="F9" s="95" t="s">
        <v>246</v>
      </c>
    </row>
    <row r="10" spans="2:6" ht="41.25" customHeight="1">
      <c r="B10" s="384"/>
      <c r="C10" s="386"/>
      <c r="D10" s="92" t="s">
        <v>247</v>
      </c>
      <c r="E10" s="93" t="s">
        <v>248</v>
      </c>
      <c r="F10" s="95" t="s">
        <v>246</v>
      </c>
    </row>
    <row r="11" spans="2:6" ht="41.25" customHeight="1">
      <c r="B11" s="384"/>
      <c r="C11" s="386" t="s">
        <v>93</v>
      </c>
      <c r="D11" s="92" t="s">
        <v>105</v>
      </c>
      <c r="E11" s="93" t="s">
        <v>249</v>
      </c>
      <c r="F11" s="95" t="s">
        <v>246</v>
      </c>
    </row>
    <row r="12" spans="2:6" ht="41.25" customHeight="1">
      <c r="B12" s="384"/>
      <c r="C12" s="386"/>
      <c r="D12" s="92" t="s">
        <v>250</v>
      </c>
      <c r="E12" s="93" t="s">
        <v>251</v>
      </c>
      <c r="F12" s="95" t="s">
        <v>246</v>
      </c>
    </row>
    <row r="13" spans="2:6" ht="15.75">
      <c r="B13" s="384"/>
      <c r="C13" s="386" t="s">
        <v>94</v>
      </c>
      <c r="D13" s="92" t="s">
        <v>106</v>
      </c>
      <c r="E13" s="93" t="s">
        <v>252</v>
      </c>
      <c r="F13" s="95" t="s">
        <v>246</v>
      </c>
    </row>
    <row r="14" spans="2:6" ht="16.5" thickBot="1">
      <c r="B14" s="387"/>
      <c r="C14" s="388"/>
      <c r="D14" s="96" t="s">
        <v>253</v>
      </c>
      <c r="E14" s="97" t="s">
        <v>254</v>
      </c>
      <c r="F14" s="98" t="s">
        <v>246</v>
      </c>
    </row>
    <row r="15" spans="2:6" ht="49.5" customHeight="1">
      <c r="B15" s="380" t="s">
        <v>255</v>
      </c>
      <c r="C15" s="380"/>
      <c r="D15" s="380"/>
      <c r="E15" s="380"/>
      <c r="F15" s="380"/>
    </row>
    <row r="16" spans="2:6" ht="27" customHeight="1">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defaultColWidth="11.42578125" defaultRowHeight="15"/>
  <sheetData>
    <row r="2" spans="2:5">
      <c r="B2" t="s">
        <v>256</v>
      </c>
      <c r="E2" t="s">
        <v>257</v>
      </c>
    </row>
    <row r="3" spans="2:5">
      <c r="B3" t="s">
        <v>258</v>
      </c>
      <c r="E3" t="s">
        <v>126</v>
      </c>
    </row>
    <row r="4" spans="2:5">
      <c r="B4" t="s">
        <v>259</v>
      </c>
      <c r="E4" t="s">
        <v>95</v>
      </c>
    </row>
    <row r="5" spans="2:5">
      <c r="B5" t="s">
        <v>107</v>
      </c>
    </row>
    <row r="8" spans="2:5">
      <c r="B8" t="s">
        <v>260</v>
      </c>
    </row>
    <row r="9" spans="2:5">
      <c r="B9" t="s">
        <v>261</v>
      </c>
    </row>
    <row r="10" spans="2:5">
      <c r="B10" t="s">
        <v>111</v>
      </c>
    </row>
    <row r="13" spans="2:5">
      <c r="B13" t="s">
        <v>262</v>
      </c>
    </row>
    <row r="14" spans="2:5">
      <c r="B14" t="s">
        <v>130</v>
      </c>
    </row>
    <row r="15" spans="2:5">
      <c r="B15" t="s">
        <v>142</v>
      </c>
    </row>
    <row r="16" spans="2:5">
      <c r="B16" t="s">
        <v>263</v>
      </c>
    </row>
    <row r="17" spans="2:2">
      <c r="B17" t="s">
        <v>264</v>
      </c>
    </row>
    <row r="18" spans="2:2">
      <c r="B18" t="s">
        <v>265</v>
      </c>
    </row>
    <row r="19" spans="2:2">
      <c r="B19" t="s">
        <v>99</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defaultColWidth="11.42578125" defaultRowHeight="12.75"/>
  <cols>
    <col min="1" max="1" width="32.85546875" style="8" customWidth="1"/>
    <col min="2" max="16384" width="11.42578125" style="8"/>
  </cols>
  <sheetData>
    <row r="3" spans="1:1">
      <c r="A3" s="9" t="s">
        <v>102</v>
      </c>
    </row>
    <row r="4" spans="1:1">
      <c r="A4" s="9" t="s">
        <v>238</v>
      </c>
    </row>
    <row r="5" spans="1:1">
      <c r="A5" s="9" t="s">
        <v>240</v>
      </c>
    </row>
    <row r="6" spans="1:1">
      <c r="A6" s="9" t="s">
        <v>133</v>
      </c>
    </row>
    <row r="7" spans="1:1">
      <c r="A7" s="9" t="s">
        <v>103</v>
      </c>
    </row>
    <row r="8" spans="1:1">
      <c r="A8" s="9" t="s">
        <v>104</v>
      </c>
    </row>
    <row r="9" spans="1:1">
      <c r="A9" s="9" t="s">
        <v>247</v>
      </c>
    </row>
    <row r="10" spans="1:1">
      <c r="A10" s="9" t="s">
        <v>105</v>
      </c>
    </row>
    <row r="11" spans="1:1">
      <c r="A11" s="9" t="s">
        <v>250</v>
      </c>
    </row>
    <row r="12" spans="1:1">
      <c r="A12" s="9" t="s">
        <v>266</v>
      </c>
    </row>
    <row r="13" spans="1:1">
      <c r="A13" s="9" t="s">
        <v>267</v>
      </c>
    </row>
    <row r="14" spans="1:1">
      <c r="A14" s="9" t="s">
        <v>268</v>
      </c>
    </row>
    <row r="16" spans="1:1">
      <c r="A16" s="9" t="s">
        <v>269</v>
      </c>
    </row>
    <row r="17" spans="1:1">
      <c r="A17" s="9" t="s">
        <v>256</v>
      </c>
    </row>
    <row r="18" spans="1:1">
      <c r="A18" s="9" t="s">
        <v>258</v>
      </c>
    </row>
    <row r="20" spans="1:1">
      <c r="A20" s="9" t="s">
        <v>261</v>
      </c>
    </row>
    <row r="21" spans="1:1">
      <c r="A21" s="9"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
  <cp:revision/>
  <dcterms:created xsi:type="dcterms:W3CDTF">2020-03-24T23:12:47Z</dcterms:created>
  <dcterms:modified xsi:type="dcterms:W3CDTF">2025-03-28T17:06:10Z</dcterms:modified>
  <cp:category/>
  <cp:contentStatus/>
</cp:coreProperties>
</file>